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xml.rels" ContentType="application/vnd.openxmlformats-package.relationships+xml"/>
  <Override PartName="/xl/worksheets/sheet29.xml" ContentType="application/vnd.openxmlformats-officedocument.spreadsheetml.worksheet+xml"/>
  <Override PartName="/xl/worksheets/sheet28.xml" ContentType="application/vnd.openxmlformats-officedocument.spreadsheetml.worksheet+xml"/>
  <Override PartName="/xl/worksheets/sheet27.xml" ContentType="application/vnd.openxmlformats-officedocument.spreadsheetml.worksheet+xml"/>
  <Override PartName="/xl/worksheets/sheet12.xml" ContentType="application/vnd.openxmlformats-officedocument.spreadsheetml.worksheet+xml"/>
  <Override PartName="/xl/worksheets/sheet7.xml" ContentType="application/vnd.openxmlformats-officedocument.spreadsheetml.worksheet+xml"/>
  <Override PartName="/xl/worksheets/sheet13.xml" ContentType="application/vnd.openxmlformats-officedocument.spreadsheetml.worksheet+xml"/>
  <Override PartName="/xl/worksheets/sheet8.xml" ContentType="application/vnd.openxmlformats-officedocument.spreadsheetml.worksheet+xml"/>
  <Override PartName="/xl/worksheets/sheet30.xml" ContentType="application/vnd.openxmlformats-officedocument.spreadsheetml.worksheet+xml"/>
  <Override PartName="/xl/worksheets/sheet14.xml" ContentType="application/vnd.openxmlformats-officedocument.spreadsheetml.worksheet+xml"/>
  <Override PartName="/xl/worksheets/sheet9.xml" ContentType="application/vnd.openxmlformats-officedocument.spreadsheetml.worksheet+xml"/>
  <Override PartName="/xl/worksheets/sheet31.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worksheets/sheet6.xml" ContentType="application/vnd.openxmlformats-officedocument.spreadsheetml.worksheet+xml"/>
  <Override PartName="/xl/worksheets/sheet11.xml" ContentType="application/vnd.openxmlformats-officedocument.spreadsheetml.worksheet+xml"/>
  <Override PartName="/xl/worksheets/sheet32.xml" ContentType="application/vnd.openxmlformats-officedocument.spreadsheetml.worksheet+xml"/>
  <Override PartName="/xl/worksheets/sheet4.xml" ContentType="application/vnd.openxmlformats-officedocument.spreadsheetml.worksheet+xml"/>
  <Override PartName="/xl/worksheets/sheet3.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xml" ContentType="application/vnd.openxmlformats-officedocument.spreadsheetml.worksheet+xml"/>
  <Override PartName="/xl/worksheets/sheet18.xml" ContentType="application/vnd.openxmlformats-officedocument.spreadsheetml.worksheet+xml"/>
  <Override PartName="/xl/worksheets/sheet20.xml" ContentType="application/vnd.openxmlformats-officedocument.spreadsheetml.worksheet+xml"/>
  <Override PartName="/xl/worksheets/sheet2.xml" ContentType="application/vnd.openxmlformats-officedocument.spreadsheetml.worksheet+xml"/>
  <Override PartName="/xl/worksheets/sheet19.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tart Here" sheetId="1" state="visible" r:id="rId3"/>
    <sheet name="A1 Readiness Scoring" sheetId="2" state="visible" r:id="rId4"/>
    <sheet name="A2 Baseline KPIs" sheetId="3" state="visible" r:id="rId5"/>
    <sheet name="A4 Workforce Matrix" sheetId="4" state="visible" r:id="rId6"/>
    <sheet name="M1 Comms Scoring" sheetId="5" state="visible" r:id="rId7"/>
    <sheet name="M2 Business Case" sheetId="6" state="visible" r:id="rId8"/>
    <sheet name="M3 Assumptions" sheetId="7" state="visible" r:id="rId9"/>
    <sheet name="M4 Benefit Mapping" sheetId="8" state="visible" r:id="rId10"/>
    <sheet name="M5 Requirements Compliance" sheetId="9" state="visible" r:id="rId11"/>
    <sheet name="P1 Pilot KPI Tracker" sheetId="10" state="visible" r:id="rId12"/>
    <sheet name="P2 Site &amp; Sampling" sheetId="11" state="visible" r:id="rId13"/>
    <sheet name="P3 Pilot Budget" sheetId="12" state="visible" r:id="rId14"/>
    <sheet name="P4 Program Plan" sheetId="13" state="visible" r:id="rId15"/>
    <sheet name="P5 Acceptance Tests" sheetId="14" state="visible" r:id="rId16"/>
    <sheet name="P6 Defect Log" sheetId="15" state="visible" r:id="rId17"/>
    <sheet name="P7 Analysis &amp; Amendments" sheetId="16" state="visible" r:id="rId18"/>
    <sheet name="W1 Risk Register" sheetId="17" state="visible" r:id="rId19"/>
    <sheet name="W1 Gate Log" sheetId="18" state="visible" r:id="rId20"/>
    <sheet name="W1 Tailoring &amp; Deviations" sheetId="19" state="visible" r:id="rId21"/>
    <sheet name="W1 Document Register" sheetId="20" state="visible" r:id="rId22"/>
    <sheet name="W1 Change Log" sheetId="21" state="visible" r:id="rId23"/>
    <sheet name="W1 Stakeholder Plan" sheetId="22" state="visible" r:id="rId24"/>
    <sheet name="W2 Cyber &amp; Privacy" sheetId="23" state="visible" r:id="rId25"/>
    <sheet name="W3 Complaint Log" sheetId="24" state="visible" r:id="rId26"/>
    <sheet name="W3 Consumer Education" sheetId="25" state="visible" r:id="rId27"/>
    <sheet name="K Reporting Cadence" sheetId="26" state="visible" r:id="rId28"/>
    <sheet name="K2 Sector Submission" sheetId="27" state="visible" r:id="rId29"/>
    <sheet name="R Rollout Cohorts" sheetId="28" state="visible" r:id="rId30"/>
    <sheet name="R Meter Logistics" sheetId="29" state="visible" r:id="rId31"/>
    <sheet name="R Benefits Tracker" sheetId="30" state="visible" r:id="rId32"/>
    <sheet name="E2 Failure Tracking" sheetId="31" state="visible" r:id="rId33"/>
    <sheet name="Regulatory Register" sheetId="32" state="visible" r:id="rId34"/>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<sst xmlns="http://schemas.openxmlformats.org/spreadsheetml/2006/main" count="3145" uniqueCount="2114">
  <si>
    <t xml:space="preserve">The AMPERE Toolkit</t>
  </si>
  <si>
    <t xml:space="preserve">Companion workbook to the AMPERE Protocol, Version 5.1 · Metro Power Corporation · September 2026</t>
  </si>
  <si>
    <t xml:space="preserve">Status: Issued, Version 5.1, approved September 22, 2026. Free to use and adapt under Protocol Section 30.4.</t>
  </si>
  <si>
    <t xml:space="preserve">How to use</t>
  </si>
  <si>
    <t xml:space="preserve">• Each sheet names the Protocol section it implements. The Protocol holds the rules; this workbook holds the forms.</t>
  </si>
  <si>
    <t xml:space="preserve">• Yellow cells with blue text are for data entry. Other cells hold labels or formulas and should not be overwritten.</t>
  </si>
  <si>
    <t xml:space="preserve">• Rows marked EXAMPLE show the expected format; delete or overwrite them.</t>
  </si>
  <si>
    <t xml:space="preserve">• Default targets and thresholds are provisional Metro Power recommendations, not regulatory or service standards. Confirm them in approved plans; ERC standards prevail when issued.</t>
  </si>
  <si>
    <t xml:space="preserve">• Lean core (smaller utilities): A1, A2, M2, M3, P1, P2, P5, P6, P7, W1 Gate Log, W1 Tailoring &amp; Deviations, W2 Cyber &amp; Privacy, W3 Complaint Log, R Rollout Cohorts; plus K2 Sector Submission under a sector framework.</t>
  </si>
  <si>
    <t xml:space="preserve">• Free to use and adapt under Protocol Section 30.4; provided without warranty.</t>
  </si>
  <si>
    <t xml:space="preserve">• Save a copy per utility and program. Record the Protocol and Toolkit versions used.</t>
  </si>
  <si>
    <t xml:space="preserve">Sheet</t>
  </si>
  <si>
    <t xml:space="preserve">Stage / workstream</t>
  </si>
  <si>
    <t xml:space="preserve">Purpose</t>
  </si>
  <si>
    <t xml:space="preserve">Protocol reference</t>
  </si>
  <si>
    <t xml:space="preserve">Lean core</t>
  </si>
  <si>
    <t xml:space="preserve">A1 Readiness Scoring</t>
  </si>
  <si>
    <t xml:space="preserve">A: Assess</t>
  </si>
  <si>
    <t xml:space="preserve">Readiness scores, knockouts, Gate 1/2/4 readiness checks; optional maturity survey</t>
  </si>
  <si>
    <t xml:space="preserve">Section 6; Annex A</t>
  </si>
  <si>
    <t xml:space="preserve">Yes</t>
  </si>
  <si>
    <t xml:space="preserve">A2 Baseline KPIs</t>
  </si>
  <si>
    <t xml:space="preserve">Operational baseline, same definitions as pilot KPIs</t>
  </si>
  <si>
    <t xml:space="preserve">Sections 6, 21; Annex D</t>
  </si>
  <si>
    <t xml:space="preserve">A4 Workforce Matrix</t>
  </si>
  <si>
    <t xml:space="preserve">A / M; W1</t>
  </si>
  <si>
    <t xml:space="preserve">Capability gaps, training, role changes</t>
  </si>
  <si>
    <t xml:space="preserve">Section 12</t>
  </si>
  <si>
    <t xml:space="preserve">M1 Comms Scoring</t>
  </si>
  <si>
    <t xml:space="preserve">M: Model</t>
  </si>
  <si>
    <t xml:space="preserve">Weighted comparison of communication options</t>
  </si>
  <si>
    <t xml:space="preserve">Section 15.4</t>
  </si>
  <si>
    <t xml:space="preserve">M2 Business Case</t>
  </si>
  <si>
    <t xml:space="preserve">M / E1</t>
  </si>
  <si>
    <t xml:space="preserve">Component-life replacements, costs, ramped benefits, NPV, IRR, payback, sensitivity, delay scenario, options, rate indicator</t>
  </si>
  <si>
    <t xml:space="preserve">Sections 19, 20.3</t>
  </si>
  <si>
    <t xml:space="preserve">M3 Assumptions</t>
  </si>
  <si>
    <t xml:space="preserve">Source type and range for every assumption</t>
  </si>
  <si>
    <t xml:space="preserve">Section 19.1</t>
  </si>
  <si>
    <t xml:space="preserve">M4 Benefit Mapping</t>
  </si>
  <si>
    <t xml:space="preserve">Asset → function → benefit → beneficiary; counted test; non-monetary effects</t>
  </si>
  <si>
    <t xml:space="preserve">Sections 19.3–19.4</t>
  </si>
  <si>
    <t xml:space="preserve">M5 Requirements Compliance</t>
  </si>
  <si>
    <t xml:space="preserve">M / P</t>
  </si>
  <si>
    <t xml:space="preserve">Bidder compliance against Annex E requirements</t>
  </si>
  <si>
    <t xml:space="preserve">Annex E</t>
  </si>
  <si>
    <t xml:space="preserve">P1 Pilot KPI Tracker</t>
  </si>
  <si>
    <t xml:space="preserve">Hypotheses, thresholds, margins, per-stratum results and pass rule</t>
  </si>
  <si>
    <t xml:space="preserve">Sections 8.6, 21.1; Annex C</t>
  </si>
  <si>
    <t xml:space="preserve">P2 Site &amp; Sampling</t>
  </si>
  <si>
    <t xml:space="preserve">Site selection, sample-size calculator with finite-population correction, census strata</t>
  </si>
  <si>
    <t xml:space="preserve">Section 8.6</t>
  </si>
  <si>
    <t xml:space="preserve">P3 Pilot Budget</t>
  </si>
  <si>
    <t xml:space="preserve">Budget, commitments, actuals</t>
  </si>
  <si>
    <t xml:space="preserve">Sections 7–8</t>
  </si>
  <si>
    <t xml:space="preserve">P4 Program Plan</t>
  </si>
  <si>
    <t xml:space="preserve">A–E1</t>
  </si>
  <si>
    <t xml:space="preserve">Activities, owners, dates, deliverables, reviews, gates</t>
  </si>
  <si>
    <t xml:space="preserve">Sections 5–9</t>
  </si>
  <si>
    <t xml:space="preserve">P5 Acceptance Tests</t>
  </si>
  <si>
    <t xml:space="preserve">P: Pilot</t>
  </si>
  <si>
    <t xml:space="preserve">Test catalog (TC-###)</t>
  </si>
  <si>
    <t xml:space="preserve">Section 8; Annex E</t>
  </si>
  <si>
    <t xml:space="preserve">P6 Defect Log</t>
  </si>
  <si>
    <t xml:space="preserve">P / R / E2</t>
  </si>
  <si>
    <t xml:space="preserve">Functional defects; security findings with remediation deadlines; Gate 3–5 checks</t>
  </si>
  <si>
    <t xml:space="preserve">Sections 8, 16.1</t>
  </si>
  <si>
    <t xml:space="preserve">P7 Analysis &amp; Amendments</t>
  </si>
  <si>
    <t xml:space="preserve">M / P / E</t>
  </si>
  <si>
    <t xml:space="preserve">Analysis plan and dated amendment log</t>
  </si>
  <si>
    <t xml:space="preserve">Section 8.6; Annex C</t>
  </si>
  <si>
    <t xml:space="preserve">W1 Risk Register</t>
  </si>
  <si>
    <t xml:space="preserve">All; W1</t>
  </si>
  <si>
    <t xml:space="preserve">Program risks (RK-##) with scoring</t>
  </si>
  <si>
    <t xml:space="preserve">Sections 5, 12</t>
  </si>
  <si>
    <t xml:space="preserve">W1 Gate Log</t>
  </si>
  <si>
    <t xml:space="preserve">Every gate decision, conditions, independent review rating</t>
  </si>
  <si>
    <t xml:space="preserve">Sections 5.1, 5.4; Annex B</t>
  </si>
  <si>
    <t xml:space="preserve">W1 Tailoring &amp; Deviations</t>
  </si>
  <si>
    <t xml:space="preserve">Tailoring and deviation approvals; mandatory-set check</t>
  </si>
  <si>
    <t xml:space="preserve">Section 2.5</t>
  </si>
  <si>
    <t xml:space="preserve">W1 Document Register</t>
  </si>
  <si>
    <t xml:space="preserve">Deliverables, versions, approvers, status</t>
  </si>
  <si>
    <t xml:space="preserve">Section 5.1</t>
  </si>
  <si>
    <t xml:space="preserve">W1 Change Log</t>
  </si>
  <si>
    <t xml:space="preserve">R; W1</t>
  </si>
  <si>
    <t xml:space="preserve">Changes after Gate 4 and approval level</t>
  </si>
  <si>
    <t xml:space="preserve">Section 10.7</t>
  </si>
  <si>
    <t xml:space="preserve">W1 Stakeholder Plan</t>
  </si>
  <si>
    <t xml:space="preserve">All; W1/W3</t>
  </si>
  <si>
    <t xml:space="preserve">Stakeholder communication, including barangays and LGUs</t>
  </si>
  <si>
    <t xml:space="preserve">Sections 12, 14.1, 17</t>
  </si>
  <si>
    <t xml:space="preserve">W2 Cyber &amp; Privacy</t>
  </si>
  <si>
    <t xml:space="preserve">All; W2</t>
  </si>
  <si>
    <t xml:space="preserve">Controls with CSF 2.0 function, current/target state, program Tier</t>
  </si>
  <si>
    <t xml:space="preserve">Section 16</t>
  </si>
  <si>
    <t xml:space="preserve">W3 Complaint Log</t>
  </si>
  <si>
    <t xml:space="preserve">P / R / E2; W3</t>
  </si>
  <si>
    <t xml:space="preserve">Complaints, service levels, escalation, meter-test turnaround</t>
  </si>
  <si>
    <t xml:space="preserve">Section 17.5</t>
  </si>
  <si>
    <t xml:space="preserve">W3 Consumer Education</t>
  </si>
  <si>
    <t xml:space="preserve">M / P / R; W3</t>
  </si>
  <si>
    <t xml:space="preserve">Education materials and activities</t>
  </si>
  <si>
    <t xml:space="preserve">Section 17</t>
  </si>
  <si>
    <t xml:space="preserve">K Reporting Cadence</t>
  </si>
  <si>
    <t xml:space="preserve">Reports, frequency, audience, owners</t>
  </si>
  <si>
    <t xml:space="preserve">Section 21.4</t>
  </si>
  <si>
    <t xml:space="preserve">K2 Sector Submission</t>
  </si>
  <si>
    <t xml:space="preserve">When a sector framework applies</t>
  </si>
  <si>
    <t xml:space="preserve">Quarterly submission to an Adopting Body (Annex H dataset)</t>
  </si>
  <si>
    <t xml:space="preserve">Section 26; Annex H</t>
  </si>
  <si>
    <t xml:space="preserve">Sector</t>
  </si>
  <si>
    <t xml:space="preserve">R Rollout Cohorts</t>
  </si>
  <si>
    <t xml:space="preserve">R: Roll Out</t>
  </si>
  <si>
    <t xml:space="preserve">Cohort checks, installation quality, pause triggers</t>
  </si>
  <si>
    <t xml:space="preserve">Sections 10.6, 10.9</t>
  </si>
  <si>
    <t xml:space="preserve">R Meter Logistics</t>
  </si>
  <si>
    <t xml:space="preserve">P / R</t>
  </si>
  <si>
    <t xml:space="preserve">Lot receiving inspection; stock reconciliation</t>
  </si>
  <si>
    <t xml:space="preserve">Section 10.10</t>
  </si>
  <si>
    <t xml:space="preserve">R Benefits Tracker</t>
  </si>
  <si>
    <t xml:space="preserve">R / E2</t>
  </si>
  <si>
    <t xml:space="preserve">Benefits realized vs business case (quarterly)</t>
  </si>
  <si>
    <t xml:space="preserve">Sections 10, 19.3</t>
  </si>
  <si>
    <t xml:space="preserve">E2 Failure Tracking</t>
  </si>
  <si>
    <t xml:space="preserve">Failure rates by model/batch/firmware; warranty</t>
  </si>
  <si>
    <t xml:space="preserve">Section 20.3</t>
  </si>
  <si>
    <t xml:space="preserve">Regulatory Register</t>
  </si>
  <si>
    <t xml:space="preserve">All</t>
  </si>
  <si>
    <t xml:space="preserve">Instruments to confirm and monitor</t>
  </si>
  <si>
    <t xml:space="preserve">Section 14</t>
  </si>
  <si>
    <t xml:space="preserve">This Toolkit is practitioner guidance from Metro Power Corporation. It is not a regulatory issuance and does not replace legal, regulatory, or engineering judgment.</t>
  </si>
  <si>
    <t xml:space="preserve">A1: Readiness Assessment Scoring</t>
  </si>
  <si>
    <t xml:space="preserve">Stage A · Protocol Section 6 and Annex A. Score each category 1–4 with evidence. Gate results calculate automatically; averages are for information only.</t>
  </si>
  <si>
    <t xml:space="preserve">Legend: yellow cells with blue text = enter data · white/grey cells = labels or formulas (do not overwrite) · rows marked EXAMPLE show the expected format; delete or overwrite them.</t>
  </si>
  <si>
    <t xml:space="preserve">Category</t>
  </si>
  <si>
    <t xml:space="preserve">Score (1–4)</t>
  </si>
  <si>
    <t xml:space="preserve">Evidence (documents, data, observed practice)</t>
  </si>
  <si>
    <t xml:space="preserve">Key gap</t>
  </si>
  <si>
    <t xml:space="preserve">Closure action</t>
  </si>
  <si>
    <t xml:space="preserve">Owner</t>
  </si>
  <si>
    <t xml:space="preserve">Due date</t>
  </si>
  <si>
    <t xml:space="preserve">1: Initial</t>
  </si>
  <si>
    <t xml:space="preserve">2: Developing</t>
  </si>
  <si>
    <t xml:space="preserve">3: Pilot-ready</t>
  </si>
  <si>
    <t xml:space="preserve">4: Scale-ready</t>
  </si>
  <si>
    <t xml:space="preserve">Governance</t>
  </si>
  <si>
    <t xml:space="preserve">No sponsor or structure</t>
  </si>
  <si>
    <t xml:space="preserve">Sponsor named; structure informal</t>
  </si>
  <si>
    <t xml:space="preserve">Steering Committee and TWG chartered; decision rights documented</t>
  </si>
  <si>
    <t xml:space="preserve">Proven program governance on comparable projects</t>
  </si>
  <si>
    <t xml:space="preserve">Organization and workforce</t>
  </si>
  <si>
    <t xml:space="preserve">No AMI skills or plan</t>
  </si>
  <si>
    <t xml:space="preserve">Some skills; training needs known</t>
  </si>
  <si>
    <t xml:space="preserve">Core team assigned; training plan funded</t>
  </si>
  <si>
    <t xml:space="preserve">Trained staff across operations, IT, billing, and field</t>
  </si>
  <si>
    <t xml:space="preserve">Technology and systems</t>
  </si>
  <si>
    <t xml:space="preserve">Legacy systems; no export capability</t>
  </si>
  <si>
    <t xml:space="preserve">Systems documented; integration uncertain</t>
  </si>
  <si>
    <t xml:space="preserve">CIS exchanges data through defined interfaces; test environments available</t>
  </si>
  <si>
    <t xml:space="preserve">Integrated enterprise systems with proven interfaces</t>
  </si>
  <si>
    <t xml:space="preserve">Communications</t>
  </si>
  <si>
    <t xml:space="preserve">No coverage information</t>
  </si>
  <si>
    <t xml:space="preserve">Desk-based coverage information</t>
  </si>
  <si>
    <t xml:space="preserve">Field survey completed for pilot areas</t>
  </si>
  <si>
    <t xml:space="preserve">Surveyed architecture for full service area</t>
  </si>
  <si>
    <t xml:space="preserve">Cybersecurity and privacy</t>
  </si>
  <si>
    <t xml:space="preserve">No policy; no DPO</t>
  </si>
  <si>
    <t xml:space="preserve">Policy drafted; DPO designated</t>
  </si>
  <si>
    <t xml:space="preserve">Minimum controls (Protocol 16.1) planned and resourced; PIA started</t>
  </si>
  <si>
    <t xml:space="preserve">Controls operating and independently tested</t>
  </si>
  <si>
    <t xml:space="preserve">Operations and billing (VEE)</t>
  </si>
  <si>
    <t xml:space="preserve">Manual processes; no exception handling</t>
  </si>
  <si>
    <t xml:space="preserve">Procedures partly documented</t>
  </si>
  <si>
    <t xml:space="preserve">VEE rules and billing exception process defined for pilot</t>
  </si>
  <si>
    <t xml:space="preserve">VEE operating with audit and reconciliation</t>
  </si>
  <si>
    <t xml:space="preserve">Consumer engagement</t>
  </si>
  <si>
    <t xml:space="preserve">No plan or channels</t>
  </si>
  <si>
    <t xml:space="preserve">Channels exist; no AMI plan</t>
  </si>
  <si>
    <t xml:space="preserve">Pilot engagement plan and complaint process ready</t>
  </si>
  <si>
    <t xml:space="preserve">Proven engagement and complaint analytics</t>
  </si>
  <si>
    <t xml:space="preserve">Data and baseline</t>
  </si>
  <si>
    <t xml:space="preserve">Records unreliable; baseline not measurable</t>
  </si>
  <si>
    <t xml:space="preserve">Baseline partly measurable</t>
  </si>
  <si>
    <t xml:space="preserve">Baseline KPIs measured; mapping verified in pilot areas</t>
  </si>
  <si>
    <t xml:space="preserve">Baseline and mapping verified across service area</t>
  </si>
  <si>
    <t xml:space="preserve">Knockout items (Protocol Annex A.2)</t>
  </si>
  <si>
    <t xml:space="preserve">Condition</t>
  </si>
  <si>
    <t xml:space="preserve">Met? (Y/N)</t>
  </si>
  <si>
    <t xml:space="preserve">Evidence</t>
  </si>
  <si>
    <t xml:space="preserve">Executive sponsor with authority over the departments involved is named</t>
  </si>
  <si>
    <t xml:space="preserve">Data Protection Officer is designated</t>
  </si>
  <si>
    <t xml:space="preserve">Customer, meter, and billing data can be extracted from the CIS</t>
  </si>
  <si>
    <t xml:space="preserve">Management has committed to measuring the operational baseline</t>
  </si>
  <si>
    <t xml:space="preserve">Budget authority for Stage M is confirmed</t>
  </si>
  <si>
    <t xml:space="preserve">Gate results</t>
  </si>
  <si>
    <t xml:space="preserve">Check</t>
  </si>
  <si>
    <t xml:space="preserve">Result</t>
  </si>
  <si>
    <t xml:space="preserve">Rule</t>
  </si>
  <si>
    <t xml:space="preserve">Categories scored</t>
  </si>
  <si>
    <t xml:space="preserve">All eight must be scored</t>
  </si>
  <si>
    <t xml:space="preserve">Lowest category score</t>
  </si>
  <si>
    <t xml:space="preserve">Used for gate rules</t>
  </si>
  <si>
    <t xml:space="preserve">Knockout items cleared</t>
  </si>
  <si>
    <t xml:space="preserve">All five conditions must be Y</t>
  </si>
  <si>
    <t xml:space="preserve">Gate 1: Proceed to Model</t>
  </si>
  <si>
    <t xml:space="preserve">No knockouts; every category ≥ 2</t>
  </si>
  <si>
    <t xml:space="preserve">Gate 2: Pilot approval (readiness part)</t>
  </si>
  <si>
    <t xml:space="preserve">Governance, cybersecurity &amp; privacy, operations &amp; billing, consumer engagement, data &amp; baseline ≥ 3; others ≥ 2</t>
  </si>
  <si>
    <t xml:space="preserve">Gate 4: Investment decision (readiness part)</t>
  </si>
  <si>
    <t xml:space="preserve">Every category ≥ 3 (re-score before Gate 4)</t>
  </si>
  <si>
    <t xml:space="preserve">Average score (information only)</t>
  </si>
  <si>
    <t xml:space="preserve">Never used to pass a gate</t>
  </si>
  <si>
    <t xml:space="preserve">Optional: smart grid maturity survey (planning aid, not a gate test; Protocol Section 6.3)</t>
  </si>
  <si>
    <t xml:space="preserve">Domain</t>
  </si>
  <si>
    <t xml:space="preserve">Current level (1–4)</t>
  </si>
  <si>
    <t xml:space="preserve">Target level (1–4)</t>
  </si>
  <si>
    <t xml:space="preserve">Gap</t>
  </si>
  <si>
    <t xml:space="preserve">Priority (H/M/L)</t>
  </si>
  <si>
    <t xml:space="preserve">Notes</t>
  </si>
  <si>
    <t xml:space="preserve">Level 1: Traditional</t>
  </si>
  <si>
    <t xml:space="preserve">Level 2: Emerging</t>
  </si>
  <si>
    <t xml:space="preserve">Level 3: Integrated</t>
  </si>
  <si>
    <t xml:space="preserve">Level 4: Optimized</t>
  </si>
  <si>
    <t xml:space="preserve">Metering and meter data</t>
  </si>
  <si>
    <t xml:space="preserve">Manual reading; no interval data</t>
  </si>
  <si>
    <t xml:space="preserve">Some AMR/AMI; data in silos</t>
  </si>
  <si>
    <t xml:space="preserve">AMI with MDMS and VEE feeding billing</t>
  </si>
  <si>
    <t xml:space="preserve">AMI data used enterprise-wide in real time</t>
  </si>
  <si>
    <t xml:space="preserve">Network visibility and automation</t>
  </si>
  <si>
    <t xml:space="preserve">No feeder or transformer monitoring</t>
  </si>
  <si>
    <t xml:space="preserve">Substation SCADA only</t>
  </si>
  <si>
    <t xml:space="preserve">Feeder monitoring; some automated switching</t>
  </si>
  <si>
    <t xml:space="preserve">Automated fault isolation and restoration</t>
  </si>
  <si>
    <t xml:space="preserve">Customer service</t>
  </si>
  <si>
    <t xml:space="preserve">Walk-in and phone only</t>
  </si>
  <si>
    <t xml:space="preserve">Basic SMS and online bill access</t>
  </si>
  <si>
    <t xml:space="preserve">Usage data access; digital self-service</t>
  </si>
  <si>
    <t xml:space="preserve">Personalized programs; proactive outage messages</t>
  </si>
  <si>
    <t xml:space="preserve">Analytics and decision support</t>
  </si>
  <si>
    <t xml:space="preserve">Spreadsheet reports</t>
  </si>
  <si>
    <t xml:space="preserve">Standard system reports</t>
  </si>
  <si>
    <t xml:space="preserve">Loss, load, and voltage analytics in use</t>
  </si>
  <si>
    <t xml:space="preserve">Predictive analytics drive planning and maintenance</t>
  </si>
  <si>
    <t xml:space="preserve">IT/OT integration</t>
  </si>
  <si>
    <t xml:space="preserve">Stand-alone systems</t>
  </si>
  <si>
    <t xml:space="preserve">Point-to-point interfaces</t>
  </si>
  <si>
    <t xml:space="preserve">Standards-based integration (e.g., CIM)</t>
  </si>
  <si>
    <t xml:space="preserve">Integrated data platform with governance</t>
  </si>
  <si>
    <t xml:space="preserve">DER and future readiness</t>
  </si>
  <si>
    <t xml:space="preserve">No visibility of rooftop solar or EVs</t>
  </si>
  <si>
    <t xml:space="preserve">Net-metering records only</t>
  </si>
  <si>
    <t xml:space="preserve">Hosting capacity tracked; bidirectional data used</t>
  </si>
  <si>
    <t xml:space="preserve">DER actively managed</t>
  </si>
  <si>
    <t xml:space="preserve">A2: Operational Baseline</t>
  </si>
  <si>
    <t xml:space="preserve">Stage A · Protocol Section 6 and Annex D.1. Measure over at least 12 months where records allow. The same definitions are used in the pilot and in operations.</t>
  </si>
  <si>
    <t xml:space="preserve">KPI</t>
  </si>
  <si>
    <t xml:space="preserve">Definition</t>
  </si>
  <si>
    <t xml:space="preserve">Numerator / value</t>
  </si>
  <si>
    <t xml:space="preserve">Denominator</t>
  </si>
  <si>
    <t xml:space="preserve">Unit</t>
  </si>
  <si>
    <t xml:space="preserve">Period covered</t>
  </si>
  <si>
    <t xml:space="preserve">Data source</t>
  </si>
  <si>
    <t xml:space="preserve">Data-quality note</t>
  </si>
  <si>
    <t xml:space="preserve">Required for Gate 1</t>
  </si>
  <si>
    <t xml:space="preserve">System loss rate</t>
  </si>
  <si>
    <t xml:space="preserve">(Energy purchased or received − energy sold) ÷ energy purchased or received, 12-month rolling. Enter kWh lost as numerator.</t>
  </si>
  <si>
    <t xml:space="preserve">%</t>
  </si>
  <si>
    <t xml:space="preserve">Must</t>
  </si>
  <si>
    <t xml:space="preserve">Estimated-bill rate</t>
  </si>
  <si>
    <t xml:space="preserve">Bills whose billing determinants were estimated ÷ bills issued (Protocol 21.1)</t>
  </si>
  <si>
    <t xml:space="preserve">Billing accuracy</t>
  </si>
  <si>
    <t xml:space="preserve">Bills needing no correction within 90 days for metering, data, or billing error ÷ bills issued (Protocol 21.1)</t>
  </si>
  <si>
    <t xml:space="preserve">Billing-read availability</t>
  </si>
  <si>
    <t xml:space="preserve">Accounts with a validated actual read at billing cut-off ÷ accounts billed (Protocol 21.1)</t>
  </si>
  <si>
    <t xml:space="preserve">Transformer-level loss (pilot-area sample)</t>
  </si>
  <si>
    <t xml:space="preserve">Protocol 21.3 method: (transformer energy − customer energy − estimated technical loss) ÷ transformer energy. Enter non-technical kWh as numerator, transformer kWh as denominator</t>
  </si>
  <si>
    <t xml:space="preserve">Must if business case depends on loss</t>
  </si>
  <si>
    <t xml:space="preserve">Meter reading cost per account</t>
  </si>
  <si>
    <t xml:space="preserve">Total reading cost (labor, transport, devices) ÷ accounts read</t>
  </si>
  <si>
    <t xml:space="preserve">PHP</t>
  </si>
  <si>
    <t xml:space="preserve">Billing complaints per 1,000 accounts</t>
  </si>
  <si>
    <t xml:space="preserve">Billing and meter complaints per month ÷ accounts × 1,000</t>
  </si>
  <si>
    <t xml:space="preserve">per 1,000</t>
  </si>
  <si>
    <t xml:space="preserve">Average complaint resolution time</t>
  </si>
  <si>
    <t xml:space="preserve">Mean working days from receipt to closure (enter the value as numerator; leave denominator blank)</t>
  </si>
  <si>
    <t xml:space="preserve">value</t>
  </si>
  <si>
    <t xml:space="preserve">Cost per disconnection/reconnection field order</t>
  </si>
  <si>
    <t xml:space="preserve">Total field order cost ÷ number of orders</t>
  </si>
  <si>
    <t xml:space="preserve">Should</t>
  </si>
  <si>
    <t xml:space="preserve">Payment-to-reconnection time</t>
  </si>
  <si>
    <t xml:space="preserve">Mean hours from payment to reconnection (enter the value as numerator)</t>
  </si>
  <si>
    <t xml:space="preserve">Meter-to-transformer mapping accuracy</t>
  </si>
  <si>
    <t xml:space="preserve">Sampled accounts correctly mapped ÷ accounts sampled (field-verified)</t>
  </si>
  <si>
    <t xml:space="preserve">Must (pilot areas)</t>
  </si>
  <si>
    <t xml:space="preserve">Collection efficiency</t>
  </si>
  <si>
    <t xml:space="preserve">Collections ÷ billings for the period</t>
  </si>
  <si>
    <t xml:space="preserve">SAIFI</t>
  </si>
  <si>
    <t xml:space="preserve">As defined in the Philippine Distribution Code (enter value)</t>
  </si>
  <si>
    <t xml:space="preserve">SAIDI</t>
  </si>
  <si>
    <t xml:space="preserve">A4: Workforce Capability Matrix</t>
  </si>
  <si>
    <t xml:space="preserve">Stages A and M · Protocol Section 12 (W1). Rate capability 1 (none) to 4 (fully capable). Gap drives the training and staffing plan.</t>
  </si>
  <si>
    <t xml:space="preserve">Function</t>
  </si>
  <si>
    <t xml:space="preserve">AMI-related capability required</t>
  </si>
  <si>
    <t xml:space="preserve">Current (1–4)</t>
  </si>
  <si>
    <t xml:space="preserve">Required (1–4)</t>
  </si>
  <si>
    <t xml:space="preserve">Training or hiring needed</t>
  </si>
  <si>
    <t xml:space="preserve">Staff affected (no.)</t>
  </si>
  <si>
    <t xml:space="preserve">Role changes (e.g., meter reader redeployment)</t>
  </si>
  <si>
    <t xml:space="preserve">Engineering</t>
  </si>
  <si>
    <t xml:space="preserve">Communication design, transformer balancing, voltage analysis</t>
  </si>
  <si>
    <t xml:space="preserve">Metering</t>
  </si>
  <si>
    <t xml:space="preserve">Smart meter testing, installation, commissioning, tamper investigation</t>
  </si>
  <si>
    <t xml:space="preserve">IT</t>
  </si>
  <si>
    <t xml:space="preserve">HES/MDMS administration, integration, data management</t>
  </si>
  <si>
    <t xml:space="preserve">Billing</t>
  </si>
  <si>
    <t xml:space="preserve">VEE exception handling, billing determinants, reconciliation</t>
  </si>
  <si>
    <t xml:space="preserve">Consumer services</t>
  </si>
  <si>
    <t xml:space="preserve">AMI inquiries, usage data, complaint handling</t>
  </si>
  <si>
    <t xml:space="preserve">Field operations</t>
  </si>
  <si>
    <t xml:space="preserve">Installation, fault response, safety</t>
  </si>
  <si>
    <t xml:space="preserve">Cybersecurity</t>
  </si>
  <si>
    <t xml:space="preserve">Security monitoring, access control, incident response</t>
  </si>
  <si>
    <t xml:space="preserve">Finance</t>
  </si>
  <si>
    <t xml:space="preserve">Business case, asset accounting, benefits tracking</t>
  </si>
  <si>
    <t xml:space="preserve">Loss reduction</t>
  </si>
  <si>
    <t xml:space="preserve">Analytics-led inspection and enforcement</t>
  </si>
  <si>
    <t xml:space="preserve">Regulatory affairs</t>
  </si>
  <si>
    <t xml:space="preserve">ERC/NEA applications and reporting</t>
  </si>
  <si>
    <t xml:space="preserve">M1: Communication Technology Evaluation</t>
  </si>
  <si>
    <t xml:space="preserve">Stage M · Protocol Section 15.4. Score each option 1 (poor) to 5 (excellent) from field-survey evidence, not vendor claims. Copy this sheet for each distinct area type (e.g., urban, rural, island).</t>
  </si>
  <si>
    <t xml:space="preserve">Area type evaluated:</t>
  </si>
  <si>
    <t xml:space="preserve">Criterion</t>
  </si>
  <si>
    <t xml:space="preserve">What to assess</t>
  </si>
  <si>
    <t xml:space="preserve">Weight</t>
  </si>
  <si>
    <t xml:space="preserve">PLC</t>
  </si>
  <si>
    <t xml:space="preserve">RF mesh</t>
  </si>
  <si>
    <t xml:space="preserve">Cellular</t>
  </si>
  <si>
    <t xml:space="preserve">Hybrid</t>
  </si>
  <si>
    <t xml:space="preserve">Evidence reference</t>
  </si>
  <si>
    <t xml:space="preserve">Coverage</t>
  </si>
  <si>
    <t xml:space="preserve">Share of surveyed meter points reachable with design link margin</t>
  </si>
  <si>
    <t xml:space="preserve">Performance</t>
  </si>
  <si>
    <t xml:space="preserve">Read success and latency in survey or trial</t>
  </si>
  <si>
    <t xml:space="preserve">Lifecycle cost per meter</t>
  </si>
  <si>
    <t xml:space="preserve">One-time plus recurring cost over asset life</t>
  </si>
  <si>
    <t xml:space="preserve">Resilience</t>
  </si>
  <si>
    <t xml:space="preserve">Typhoon exposure, backup power, flood risk at collector sites</t>
  </si>
  <si>
    <t xml:space="preserve">Scalability</t>
  </si>
  <si>
    <t xml:space="preserve">Capacity for full deployment and future devices</t>
  </si>
  <si>
    <t xml:space="preserve">Security</t>
  </si>
  <si>
    <t xml:space="preserve">Encryption, authentication, key management, patchability</t>
  </si>
  <si>
    <t xml:space="preserve">Standards and interoperability</t>
  </si>
  <si>
    <t xml:space="preserve">Open standards; multi-vendor options</t>
  </si>
  <si>
    <t xml:space="preserve">Local support</t>
  </si>
  <si>
    <t xml:space="preserve">Vendor and local capability to install and maintain</t>
  </si>
  <si>
    <t xml:space="preserve">Regulatory and carrier dependencies</t>
  </si>
  <si>
    <t xml:space="preserve">NTC compliance; carrier SLAs; network shutdown risk</t>
  </si>
  <si>
    <t xml:space="preserve">Total weight (must equal 100%)</t>
  </si>
  <si>
    <t xml:space="preserve">Weighted score (out of 5)</t>
  </si>
  <si>
    <t xml:space="preserve">Rank</t>
  </si>
  <si>
    <t xml:space="preserve">Weights shown are Metro Power suggested starting weights; the TWG should confirm them before scoring. Default weights are blue inputs and may be changed.</t>
  </si>
  <si>
    <t xml:space="preserve">M2: Business Case Model (PHP)</t>
  </si>
  <si>
    <t xml:space="preserve">Stages M and E1 · Protocol Section 19 and Annex G. Enter nominal annual cash amounts in pesos. Year 0 is the investment year. Record every assumption in M3.</t>
  </si>
  <si>
    <t xml:space="preserve">Enter costs and benefits incremental to the do-nothing option (continuing current metering). Enter only benefits marked “Counted = Yes” in M4. Record every assumption in M3.</t>
  </si>
  <si>
    <t xml:space="preserve">Discount rate (utility-approved; state real or nominal and keep cash flows consistent)</t>
  </si>
  <si>
    <t xml:space="preserve">Annual kWh sales (for rate impact)</t>
  </si>
  <si>
    <t xml:space="preserve">Average residential consumption (kWh/month)</t>
  </si>
  <si>
    <t xml:space="preserve">Memo (non-cash): undepreciated book value of legacy meters to be retired (PHP)</t>
  </si>
  <si>
    <t xml:space="preserve">COMPONENT LIFE AND SCHEDULED REPLACEMENT (Protocol Section 20.3)</t>
  </si>
  <si>
    <t xml:space="preserve">Enter expected life from vendor commitments, carrier notices, and utility experience; record sources in M3. Replacement cost is scheduled automatically in each year that is a multiple of the life.</t>
  </si>
  <si>
    <t xml:space="preserve">Component</t>
  </si>
  <si>
    <t xml:space="preserve">Expected life (years)</t>
  </si>
  <si>
    <t xml:space="preserve">Year 0</t>
  </si>
  <si>
    <t xml:space="preserve">Year 1</t>
  </si>
  <si>
    <t xml:space="preserve">Year 2</t>
  </si>
  <si>
    <t xml:space="preserve">Year 3</t>
  </si>
  <si>
    <t xml:space="preserve">Year 4</t>
  </si>
  <si>
    <t xml:space="preserve">Year 5</t>
  </si>
  <si>
    <t xml:space="preserve">Year 6</t>
  </si>
  <si>
    <t xml:space="preserve">Year 7</t>
  </si>
  <si>
    <t xml:space="preserve">Year 8</t>
  </si>
  <si>
    <t xml:space="preserve">Year 9</t>
  </si>
  <si>
    <t xml:space="preserve">Year 10</t>
  </si>
  <si>
    <t xml:space="preserve">Year 11</t>
  </si>
  <si>
    <t xml:space="preserve">Year 12</t>
  </si>
  <si>
    <t xml:space="preserve">Year 13</t>
  </si>
  <si>
    <t xml:space="preserve">Year 14</t>
  </si>
  <si>
    <t xml:space="preserve">Year 15</t>
  </si>
  <si>
    <t xml:space="preserve">Total</t>
  </si>
  <si>
    <t xml:space="preserve">Quantity</t>
  </si>
  <si>
    <t xml:space="preserve">Unit replacement cost (PHP)</t>
  </si>
  <si>
    <t xml:space="preserve">Meter body and metrology</t>
  </si>
  <si>
    <t xml:space="preserve">Communication module</t>
  </si>
  <si>
    <t xml:space="preserve">Battery (where fitted)</t>
  </si>
  <si>
    <t xml:space="preserve">Concentrators and collectors</t>
  </si>
  <si>
    <t xml:space="preserve">Backhaul equipment</t>
  </si>
  <si>
    <t xml:space="preserve">HES/MDMS software refresh</t>
  </si>
  <si>
    <t xml:space="preserve">Servers and hosting refresh</t>
  </si>
  <si>
    <t xml:space="preserve">Other component</t>
  </si>
  <si>
    <t xml:space="preserve">Line item</t>
  </si>
  <si>
    <t xml:space="preserve">Type</t>
  </si>
  <si>
    <t xml:space="preserve">COSTS</t>
  </si>
  <si>
    <t xml:space="preserve">Meters, modules, and service switches</t>
  </si>
  <si>
    <t xml:space="preserve">One-time</t>
  </si>
  <si>
    <t xml:space="preserve">Network: concentrators, collectors, backhaul build</t>
  </si>
  <si>
    <t xml:space="preserve">HES, MDMS, CMDC and other software (one-time)</t>
  </si>
  <si>
    <t xml:space="preserve">Integration and data migration</t>
  </si>
  <si>
    <t xml:space="preserve">Installation, mapping verification, and quality control</t>
  </si>
  <si>
    <t xml:space="preserve">Program management, training, consumer engagement, workforce transition</t>
  </si>
  <si>
    <t xml:space="preserve">Security and privacy (one-time)</t>
  </si>
  <si>
    <t xml:space="preserve">Legacy meter removal and disposal</t>
  </si>
  <si>
    <t xml:space="preserve">Software subscriptions, licenses, hosting</t>
  </si>
  <si>
    <t xml:space="preserve">Recurring</t>
  </si>
  <si>
    <t xml:space="preserve">Cellular and backhaul data charges</t>
  </si>
  <si>
    <t xml:space="preserve">Maintenance and vendor support</t>
  </si>
  <si>
    <t xml:space="preserve">Internal operations staff</t>
  </si>
  <si>
    <t xml:space="preserve">Security monitoring and testing</t>
  </si>
  <si>
    <t xml:space="preserve">Scheduled component replacements (from table above)</t>
  </si>
  <si>
    <t xml:space="preserve">Lifecycle (auto)</t>
  </si>
  <si>
    <t xml:space="preserve">Failure replacements and other lifecycle costs</t>
  </si>
  <si>
    <t xml:space="preserve">Lifecycle</t>
  </si>
  <si>
    <t xml:space="preserve">Financing costs (interest, fees)</t>
  </si>
  <si>
    <t xml:space="preserve">Financial</t>
  </si>
  <si>
    <t xml:space="preserve">Foreign-exchange contingency</t>
  </si>
  <si>
    <t xml:space="preserve">Contingency</t>
  </si>
  <si>
    <t xml:space="preserve">Total costs</t>
  </si>
  <si>
    <t xml:space="preserve">BENEFITS</t>
  </si>
  <si>
    <t xml:space="preserve">Non-technical loss reduction (value of energy recovered)</t>
  </si>
  <si>
    <t xml:space="preserve">Benefit</t>
  </si>
  <si>
    <t xml:space="preserve">Meter-reading cost avoided</t>
  </si>
  <si>
    <t xml:space="preserve">Field visits avoided (disconnect/reconnect, re-reads)</t>
  </si>
  <si>
    <t xml:space="preserve">Billing error and dispute cost reduction</t>
  </si>
  <si>
    <t xml:space="preserve">Collection improvement (financing value)</t>
  </si>
  <si>
    <t xml:space="preserve">Outage and operational savings</t>
  </si>
  <si>
    <t xml:space="preserve">Asset and planning value (deferred capital, avoided failures)</t>
  </si>
  <si>
    <t xml:space="preserve">Residual value of assets (enter in final year only)</t>
  </si>
  <si>
    <t xml:space="preserve">Benefit realization ramp (% of full benefit; blank = 100%)</t>
  </si>
  <si>
    <t xml:space="preserve">Ramp</t>
  </si>
  <si>
    <t xml:space="preserve">Total benefits (after ramp)</t>
  </si>
  <si>
    <t xml:space="preserve">Net cash flow</t>
  </si>
  <si>
    <t xml:space="preserve">Discount factor</t>
  </si>
  <si>
    <t xml:space="preserve">Discounted net cash flow</t>
  </si>
  <si>
    <t xml:space="preserve">Cumulative net cash flow</t>
  </si>
  <si>
    <t xml:space="preserve">Payback flag (helper)</t>
  </si>
  <si>
    <t xml:space="preserve">RESULTS</t>
  </si>
  <si>
    <t xml:space="preserve">Net present value (PHP)</t>
  </si>
  <si>
    <t xml:space="preserve">Internal rate of return</t>
  </si>
  <si>
    <t xml:space="preserve">Payback year (simple, undiscounted)</t>
  </si>
  <si>
    <t xml:space="preserve">Indicative rate impact (PHP/kWh), year 1 net cost</t>
  </si>
  <si>
    <t xml:space="preserve">Indicative impact on average residential monthly bill (PHP)</t>
  </si>
  <si>
    <t xml:space="preserve">Rate impact here is a simple indicator (net year-1 cost ÷ kWh sales). Actual rate impact follows the applicable ERC rate methodology and must be computed by the utility's regulatory team.</t>
  </si>
  <si>
    <t xml:space="preserve">SENSITIVITY</t>
  </si>
  <si>
    <t xml:space="preserve">Scenario</t>
  </si>
  <si>
    <t xml:space="preserve">Cost multiplier</t>
  </si>
  <si>
    <t xml:space="preserve">Benefit multiplier</t>
  </si>
  <si>
    <t xml:space="preserve">NPV (PHP)</t>
  </si>
  <si>
    <t xml:space="preserve">Base</t>
  </si>
  <si>
    <t xml:space="preserve">Costs +20%</t>
  </si>
  <si>
    <t xml:space="preserve">Benefits −25%</t>
  </si>
  <si>
    <t xml:space="preserve">Costs +20% and benefits −25%</t>
  </si>
  <si>
    <t xml:space="preserve">Benefits delayed one year (costs unchanged)</t>
  </si>
  <si>
    <t xml:space="preserve">shift +1 yr</t>
  </si>
  <si>
    <t xml:space="preserve">OPTIONS COMPARISON (run a copy of this sheet for each option)</t>
  </si>
  <si>
    <t xml:space="preserve">Option</t>
  </si>
  <si>
    <t xml:space="preserve">Description</t>
  </si>
  <si>
    <t xml:space="preserve">IRR</t>
  </si>
  <si>
    <t xml:space="preserve">Key risks</t>
  </si>
  <si>
    <t xml:space="preserve">Do nothing (continue current metering)</t>
  </si>
  <si>
    <t xml:space="preserve">Option A</t>
  </si>
  <si>
    <t xml:space="preserve">Option B</t>
  </si>
  <si>
    <t xml:space="preserve">Option C</t>
  </si>
  <si>
    <t xml:space="preserve">M3: Assumptions Register</t>
  </si>
  <si>
    <t xml:space="preserve">Stages M and E1 · Protocol Section 19. Every number in the business case should trace to a row here, with its source type.</t>
  </si>
  <si>
    <t xml:space="preserve">ID</t>
  </si>
  <si>
    <t xml:space="preserve">Assumption</t>
  </si>
  <si>
    <t xml:space="preserve">Value</t>
  </si>
  <si>
    <t xml:space="preserve">Source type</t>
  </si>
  <si>
    <t xml:space="preserve">Source reference</t>
  </si>
  <si>
    <t xml:space="preserve">Low</t>
  </si>
  <si>
    <t xml:space="preserve">High</t>
  </si>
  <si>
    <t xml:space="preserve">Used in (sheet/line)</t>
  </si>
  <si>
    <t xml:space="preserve">Last updated</t>
  </si>
  <si>
    <t xml:space="preserve">EXAMPLE A-01</t>
  </si>
  <si>
    <t xml:space="preserve">Installation cost per single-phase meter</t>
  </si>
  <si>
    <t xml:space="preserve">PHP/meter</t>
  </si>
  <si>
    <t xml:space="preserve">Vendor quotation</t>
  </si>
  <si>
    <t xml:space="preserve">Quotation ref. and date</t>
  </si>
  <si>
    <t xml:space="preserve">M2 · Installation</t>
  </si>
  <si>
    <t xml:space="preserve">Program Manager</t>
  </si>
  <si>
    <t xml:space="preserve">Rule (Protocol 5.1, 19.1): an unverified vendor claim cannot support a Must criterion or a benefit counted in the business case.</t>
  </si>
  <si>
    <t xml:space="preserve">M4: Benefit Mapping (Asset → Function → Benefit → Beneficiary)</t>
  </si>
  <si>
    <t xml:space="preserve">Stages M and E1 · Protocol Sections 19.3–19.4 and Annex G.3 (EU JRC method). A benefit is counted only if its baseline is measured, its enabling function is in the design, and it has a named owner.</t>
  </si>
  <si>
    <t xml:space="preserve">Asset</t>
  </si>
  <si>
    <t xml:space="preserve">Function enabled</t>
  </si>
  <si>
    <t xml:space="preserve">Beneficiary</t>
  </si>
  <si>
    <t xml:space="preserve">Monetized in M2? (Y/N)</t>
  </si>
  <si>
    <t xml:space="preserve">M2 line</t>
  </si>
  <si>
    <t xml:space="preserve">Baseline KPI (A2)</t>
  </si>
  <si>
    <t xml:space="preserve">Function in approved design? (Y/N)</t>
  </si>
  <si>
    <t xml:space="preserve">Benefit owner</t>
  </si>
  <si>
    <t xml:space="preserve">Counted in business case?</t>
  </si>
  <si>
    <t xml:space="preserve">Smart meters + communications</t>
  </si>
  <si>
    <t xml:space="preserve">Remote interval and register reading</t>
  </si>
  <si>
    <t xml:space="preserve">Utility; consumers through rates</t>
  </si>
  <si>
    <t xml:space="preserve">Remote reading; VEE in MDMS</t>
  </si>
  <si>
    <t xml:space="preserve">Fewer estimated and corrected bills</t>
  </si>
  <si>
    <t xml:space="preserve">Consumers; utility</t>
  </si>
  <si>
    <t xml:space="preserve">Estimated-bill rate; billing adjustment rate</t>
  </si>
  <si>
    <t xml:space="preserve">Transformer meters + mapping + MDMS analytics</t>
  </si>
  <si>
    <t xml:space="preserve">Transformer energy balancing</t>
  </si>
  <si>
    <t xml:space="preserve">Non-technical loss reduction</t>
  </si>
  <si>
    <t xml:space="preserve">Utility; paying consumers</t>
  </si>
  <si>
    <t xml:space="preserve">System loss rate; mapping accuracy</t>
  </si>
  <si>
    <t xml:space="preserve">Smart meters (tamper sensing)</t>
  </si>
  <si>
    <t xml:space="preserve">Tamper and anomaly events</t>
  </si>
  <si>
    <t xml:space="preserve">Targeted inspections; loss reduction</t>
  </si>
  <si>
    <t xml:space="preserve">Utility</t>
  </si>
  <si>
    <t xml:space="preserve">Service switch + HES</t>
  </si>
  <si>
    <t xml:space="preserve">Remote disconnect and reconnect (within safeguards)</t>
  </si>
  <si>
    <t xml:space="preserve">Field visits avoided; faster reconnection</t>
  </si>
  <si>
    <t xml:space="preserve">Utility; consumers</t>
  </si>
  <si>
    <t xml:space="preserve">Cost per field order; payment-to-reconnection time</t>
  </si>
  <si>
    <t xml:space="preserve">Service switch + prepaid functions</t>
  </si>
  <si>
    <t xml:space="preserve">Prepaid service</t>
  </si>
  <si>
    <t xml:space="preserve">Collection improvement; consumer budgeting</t>
  </si>
  <si>
    <t xml:space="preserve">Smart meters + OMS integration</t>
  </si>
  <si>
    <t xml:space="preserve">Last-gasp and restoration events</t>
  </si>
  <si>
    <t xml:space="preserve">Faster outage detection and restoration verification</t>
  </si>
  <si>
    <t xml:space="preserve">SAIFI; SAIDI</t>
  </si>
  <si>
    <t xml:space="preserve">Smart meters + MDMS</t>
  </si>
  <si>
    <t xml:space="preserve">Transformer loading from aggregated interval data</t>
  </si>
  <si>
    <t xml:space="preserve">Avoided transformer failures; deferred capital</t>
  </si>
  <si>
    <t xml:space="preserve">Smart meters (voltage)</t>
  </si>
  <si>
    <t xml:space="preserve">Voltage monitoring</t>
  </si>
  <si>
    <t xml:space="preserve">Voltage compliance; fewer complaints</t>
  </si>
  <si>
    <t xml:space="preserve">CMDC and consumer channels</t>
  </si>
  <si>
    <t xml:space="preserve">Consumer access to usage data</t>
  </si>
  <si>
    <t xml:space="preserve">Consumer awareness and choice</t>
  </si>
  <si>
    <t xml:space="preserve">Consumers</t>
  </si>
  <si>
    <t xml:space="preserve">Bidirectional meters</t>
  </si>
  <si>
    <t xml:space="preserve">Net-metering measurement</t>
  </si>
  <si>
    <t xml:space="preserve">Accurate credits; DER visibility</t>
  </si>
  <si>
    <t xml:space="preserve">Consumers; society</t>
  </si>
  <si>
    <t xml:space="preserve">Interval data</t>
  </si>
  <si>
    <t xml:space="preserve">Load research</t>
  </si>
  <si>
    <t xml:space="preserve">Better tariff and demand forecasting</t>
  </si>
  <si>
    <t xml:space="preserve">Non-monetary effects (Protocol Section 19.4), reported alongside, never added to, financial results</t>
  </si>
  <si>
    <t xml:space="preserve">Effect</t>
  </si>
  <si>
    <t xml:space="preserve">Expected direction (+ / − / neutral)</t>
  </si>
  <si>
    <t xml:space="preserve">Safety</t>
  </si>
  <si>
    <t xml:space="preserve">Field-worker and public safety; fewer manual disconnections</t>
  </si>
  <si>
    <t xml:space="preserve">Privacy</t>
  </si>
  <si>
    <t xml:space="preserve">Residual risk after controls (from PIA)</t>
  </si>
  <si>
    <t xml:space="preserve">Consumer acceptance and trust</t>
  </si>
  <si>
    <t xml:space="preserve">Complaints, surveys, community feedback</t>
  </si>
  <si>
    <t xml:space="preserve">Fairness</t>
  </si>
  <si>
    <t xml:space="preserve">Effects on low-income, vulnerable, and prepaid consumers</t>
  </si>
  <si>
    <t xml:space="preserve">Workforce</t>
  </si>
  <si>
    <t xml:space="preserve">Roles changed or redeployed; skills gained</t>
  </si>
  <si>
    <t xml:space="preserve">Environment and energy transition</t>
  </si>
  <si>
    <t xml:space="preserve">Support for net metering, rooftop solar, demand response</t>
  </si>
  <si>
    <t xml:space="preserve">Outage visibility in typhoons; restoration verification</t>
  </si>
  <si>
    <t xml:space="preserve">M5: Requirements Compliance Evaluation</t>
  </si>
  <si>
    <t xml:space="preserve">Stage M (tender evaluation) and Stage P · Protocol Annex E. Record each bidder’s compliance with evidence. C = compliant, P = partial, N = non-compliant, NA = not applicable.</t>
  </si>
  <si>
    <t xml:space="preserve">Bidder names →</t>
  </si>
  <si>
    <t xml:space="preserve">Bidder A</t>
  </si>
  <si>
    <t xml:space="preserve">Bidder B</t>
  </si>
  <si>
    <t xml:space="preserve">Bidder C</t>
  </si>
  <si>
    <t xml:space="preserve">Req. ID</t>
  </si>
  <si>
    <t xml:space="preserve">Area</t>
  </si>
  <si>
    <t xml:space="preserve">Requirement</t>
  </si>
  <si>
    <t xml:space="preserve">Mandatory? (Y/N)</t>
  </si>
  <si>
    <t xml:space="preserve">A: C/P/N/NA</t>
  </si>
  <si>
    <t xml:space="preserve">A: evidence</t>
  </si>
  <si>
    <t xml:space="preserve">B: C/P/N/NA</t>
  </si>
  <si>
    <t xml:space="preserve">B: evidence</t>
  </si>
  <si>
    <t xml:space="preserve">C: C/P/N/NA</t>
  </si>
  <si>
    <t xml:space="preserve">C: evidence</t>
  </si>
  <si>
    <t xml:space="preserve">RQ-001</t>
  </si>
  <si>
    <t xml:space="preserve">Smart Meters</t>
  </si>
  <si>
    <t xml:space="preserve">ERC type approval held before any meter is installed (ERC Res. No. 16, s. 2017); a documented path to type approval is acceptable at tender but not at installation</t>
  </si>
  <si>
    <t xml:space="preserve">Y</t>
  </si>
  <si>
    <t xml:space="preserve">RQ-002</t>
  </si>
  <si>
    <t xml:space="preserve">Tested and sealed as required by ERC rules before installation</t>
  </si>
  <si>
    <t xml:space="preserve">RQ-003</t>
  </si>
  <si>
    <t xml:space="preserve">Product safety to IEC 62052-31</t>
  </si>
  <si>
    <t xml:space="preserve">RQ-004</t>
  </si>
  <si>
    <t xml:space="preserve">Accuracy class per segment (Section 15.1), certified by an accredited laboratory</t>
  </si>
  <si>
    <t xml:space="preserve">RQ-005</t>
  </si>
  <si>
    <t xml:space="preserve">IEC 62056 (DLMS/COSEM) or ANSI C12.18/19/22 data model and protocol</t>
  </si>
  <si>
    <t xml:space="preserve">RQ-006</t>
  </si>
  <si>
    <t xml:space="preserve">Interval data at configurable resolution; minimum on-board storage defined</t>
  </si>
  <si>
    <t xml:space="preserve">RQ-007</t>
  </si>
  <si>
    <t xml:space="preserve">Event log: power off/on, tamper, cover open, magnetic, reverse energy, voltage events</t>
  </si>
  <si>
    <t xml:space="preserve">RQ-008</t>
  </si>
  <si>
    <t xml:space="preserve">Integrated service switch where remote connect/disconnect is in scope; rated for the service</t>
  </si>
  <si>
    <t xml:space="preserve">RQ-009</t>
  </si>
  <si>
    <t xml:space="preserve">Bidirectional measurement for net-metering customers, with separate import and export registers and interval channels, and capacity for additional channels for distributed energy resources</t>
  </si>
  <si>
    <t xml:space="preserve">RQ-010</t>
  </si>
  <si>
    <t xml:space="preserve">Prepaid functionality where in scope, consistent with ERC prepaid rules</t>
  </si>
  <si>
    <t xml:space="preserve">RQ-011</t>
  </si>
  <si>
    <t xml:space="preserve">Signed firmware, secure boot where supported, over-the-air update</t>
  </si>
  <si>
    <t xml:space="preserve">RQ-012</t>
  </si>
  <si>
    <t xml:space="preserve">Real-time clock with synchronization; drift no more than 0.5 seconds per day (IEC 62054-21); within ±5 seconds of reference after synchronization</t>
  </si>
  <si>
    <t xml:space="preserve">RQ-013</t>
  </si>
  <si>
    <t xml:space="preserve">Environmental rating suitable for local heat, humidity, and salt exposure; surge withstand specified</t>
  </si>
  <si>
    <t xml:space="preserve">RQ-014</t>
  </si>
  <si>
    <t xml:space="preserve">Supports STS (IEC 62055-41) Edition 2 or later, including the post-2024 token identifier range and key change by token, where token-based prepaid is in scope; payment meter requirements to IEC 62055-31</t>
  </si>
  <si>
    <t xml:space="preserve">RQ-015</t>
  </si>
  <si>
    <t xml:space="preserve">Interoperability conformance certificates (for example DLMS User Association, Wi-SUN Alliance) where those standards are specified</t>
  </si>
  <si>
    <t xml:space="preserve">RQ-016</t>
  </si>
  <si>
    <t xml:space="preserve">Meter identifier compatible with the national meter identifier scheme once issued (Section 25.1); GPS position recorded at installation</t>
  </si>
  <si>
    <t xml:space="preserve">RQ-017</t>
  </si>
  <si>
    <t xml:space="preserve">For cellular meters: replaceable communication module, multi-carrier capability or eSIM, and LTE-M/Cat-M or NB-IoT support where available</t>
  </si>
  <si>
    <t xml:space="preserve">RQ-018</t>
  </si>
  <si>
    <t xml:space="preserve">Technology selected on Stage M field survey evidence</t>
  </si>
  <si>
    <t xml:space="preserve">RQ-019</t>
  </si>
  <si>
    <t xml:space="preserve">Design link margin defined per technology and validated in the field</t>
  </si>
  <si>
    <t xml:space="preserve">RQ-020</t>
  </si>
  <si>
    <t xml:space="preserve">Concentrator or collector backup power duration specified and tested at SAT</t>
  </si>
  <si>
    <t xml:space="preserve">RQ-021</t>
  </si>
  <si>
    <t xml:space="preserve">Hardening for typhoon and flood exposure at collector and concentrator sites</t>
  </si>
  <si>
    <t xml:space="preserve">RQ-022</t>
  </si>
  <si>
    <t xml:space="preserve">NTC equipment authorization and frequency compliance for radio and cellular equipment</t>
  </si>
  <si>
    <t xml:space="preserve">RQ-023</t>
  </si>
  <si>
    <t xml:space="preserve">Encryption and device authentication on the field network</t>
  </si>
  <si>
    <t xml:space="preserve">RQ-024</t>
  </si>
  <si>
    <t xml:space="preserve">Carrier service levels and network-shutdown notice terms for cellular; private APN or VPN</t>
  </si>
  <si>
    <t xml:space="preserve">RQ-025</t>
  </si>
  <si>
    <t xml:space="preserve">Outage event capture target set for each technology (Section 21.1)</t>
  </si>
  <si>
    <t xml:space="preserve">RQ-026</t>
  </si>
  <si>
    <t xml:space="preserve">Store-and-forward or satellite backhaul options for off-grid and island areas (Section 15.7)</t>
  </si>
  <si>
    <t xml:space="preserve">RQ-027</t>
  </si>
  <si>
    <t xml:space="preserve">Head-End System</t>
  </si>
  <si>
    <t xml:space="preserve">Supports all meter types and communication technologies in the architecture; multi-vendor support demonstrated where specified</t>
  </si>
  <si>
    <t xml:space="preserve">RQ-028</t>
  </si>
  <si>
    <t xml:space="preserve">Scheduled and on-demand reads; command queuing with confirmation</t>
  </si>
  <si>
    <t xml:space="preserve">RQ-029</t>
  </si>
  <si>
    <t xml:space="preserve">Authorization controls, rate limits, and time-window blocking for disconnect commands, with permitted windows, notice periods, and holiday calendar held as configurable parameters</t>
  </si>
  <si>
    <t xml:space="preserve">RQ-030</t>
  </si>
  <si>
    <t xml:space="preserve">On a shared platform, a platform-wide disconnect cap in addition to each tenant’s cap</t>
  </si>
  <si>
    <t xml:space="preserve">RQ-031</t>
  </si>
  <si>
    <t xml:space="preserve">Firmware and configuration management with staged rollout and rollback</t>
  </si>
  <si>
    <t xml:space="preserve">RQ-032</t>
  </si>
  <si>
    <t xml:space="preserve">Key and certificate management under utility control, including wrapped key import and replacement of manufacturing keys after commissioning (Section 16.1)</t>
  </si>
  <si>
    <t xml:space="preserve">RQ-033</t>
  </si>
  <si>
    <t xml:space="preserve">Documented APIs to MDMS and other systems (IEC 61968-9 or MultiSpeak preferred)</t>
  </si>
  <si>
    <t xml:space="preserve">RQ-034</t>
  </si>
  <si>
    <t xml:space="preserve">Availability and performance service levels</t>
  </si>
  <si>
    <t xml:space="preserve">RQ-035</t>
  </si>
  <si>
    <t xml:space="preserve">One-step suspension of disconnections by area for calamities</t>
  </si>
  <si>
    <t xml:space="preserve">RQ-036</t>
  </si>
  <si>
    <t xml:space="preserve">Time synchronization from a source traceable to Philippine Standard Time or GNSS-disciplined authenticated NTP; timestamps exchanged in UTC (Section 18.7)</t>
  </si>
  <si>
    <t xml:space="preserve">RQ-037</t>
  </si>
  <si>
    <t xml:space="preserve">Meter Data Management and Billing Integration</t>
  </si>
  <si>
    <t xml:space="preserve">Configurable validation rules covering Section 18.2</t>
  </si>
  <si>
    <t xml:space="preserve">RQ-038</t>
  </si>
  <si>
    <t xml:space="preserve">Estimation methods and controls per Section 18.3</t>
  </si>
  <si>
    <t xml:space="preserve">RQ-039</t>
  </si>
  <si>
    <t xml:space="preserve">Editing with full audit trail and dual approval above thresholds</t>
  </si>
  <si>
    <t xml:space="preserve">RQ-040</t>
  </si>
  <si>
    <t xml:space="preserve">Automated reconciliation between HES, MDMS, and CIS</t>
  </si>
  <si>
    <t xml:space="preserve">RQ-041</t>
  </si>
  <si>
    <t xml:space="preserve">Billing determinants delivered to CIS before cut-off with exception reporting</t>
  </si>
  <si>
    <t xml:space="preserve">RQ-042</t>
  </si>
  <si>
    <t xml:space="preserve">Data export of all data in documented non-proprietary formats</t>
  </si>
  <si>
    <t xml:space="preserve">RQ-043</t>
  </si>
  <si>
    <t xml:space="preserve">CMDC and consumer access interfaces per ERC requirements</t>
  </si>
  <si>
    <t xml:space="preserve">RQ-044</t>
  </si>
  <si>
    <t xml:space="preserve">Capacity for full deployment volume with defined growth headroom</t>
  </si>
  <si>
    <t xml:space="preserve">RQ-045</t>
  </si>
  <si>
    <t xml:space="preserve">Validation for CT/VT multiplier errors, reverse energy on non-net-metered accounts, meter-exchange continuity, and outage-aware zero consumption</t>
  </si>
  <si>
    <t xml:space="preserve">RQ-046</t>
  </si>
  <si>
    <t xml:space="preserve">Disaster recovery with documented recovery point and recovery time objectives, tested</t>
  </si>
  <si>
    <t xml:space="preserve">RQ-047</t>
  </si>
  <si>
    <t xml:space="preserve">Outage and Network Integration</t>
  </si>
  <si>
    <t xml:space="preserve">Last-gasp and restoration events delivered to OMS or dispatch</t>
  </si>
  <si>
    <t xml:space="preserve">RQ-048</t>
  </si>
  <si>
    <t xml:space="preserve">Restoration verification by meter ping</t>
  </si>
  <si>
    <t xml:space="preserve">RQ-049</t>
  </si>
  <si>
    <t xml:space="preserve">Transformer and feeder aggregation using the GIS network model</t>
  </si>
  <si>
    <t xml:space="preserve">RQ-050</t>
  </si>
  <si>
    <t xml:space="preserve">Voltage event reporting to engineering</t>
  </si>
  <si>
    <t xml:space="preserve">RQ-051</t>
  </si>
  <si>
    <t xml:space="preserve">Supply Chain and Vendor Access</t>
  </si>
  <si>
    <t xml:space="preserve">Software bill of materials for meter firmware, HES, and MDMS, updated with each release</t>
  </si>
  <si>
    <t xml:space="preserve">RQ-052</t>
  </si>
  <si>
    <t xml:space="preserve">A published vulnerability disclosure process and a commitment to notify the utility of vulnerabilities affecting its systems within a defined period</t>
  </si>
  <si>
    <t xml:space="preserve">RQ-053</t>
  </si>
  <si>
    <t xml:space="preserve">Firmware signing keys protected in a hardware security module under the supplier’s documented controls, with a revocation process</t>
  </si>
  <si>
    <t xml:space="preserve">RQ-054</t>
  </si>
  <si>
    <t xml:space="preserve">Vendor remote access only through a utility-controlled jump host, with multi-factor authentication, session approval, and session logging</t>
  </si>
  <si>
    <t xml:space="preserve">RQ-055</t>
  </si>
  <si>
    <t xml:space="preserve">Disclosure of hosting locations, subcontractors, and any access to data from outside the Philippines (Section 16.2)</t>
  </si>
  <si>
    <t xml:space="preserve">RQ-056</t>
  </si>
  <si>
    <t xml:space="preserve">Security patches supported for the contract term and a stated end-of-support notice period</t>
  </si>
  <si>
    <t xml:space="preserve">Mandatory requirements not met (N)</t>
  </si>
  <si>
    <t xml:space="preserve">Requirements not yet assessed</t>
  </si>
  <si>
    <t xml:space="preserve">Unverified vendor claims are not evidence of compliance (Protocol 5.1). Cite certificates, test reports, or reference-site data.</t>
  </si>
  <si>
    <t xml:space="preserve">P1: Pilot Evaluation Plan and KPI Tracker</t>
  </si>
  <si>
    <t xml:space="preserve">Stages M and P · Protocol Sections 8.6, 21.1 and Annex C.1. Thresholds and non-inferiority margins are fixed at Gate 2. Enter each stratum’s measurement-period result and the size of each denominator. Must-Pass KPIs must pass in every stratum to which the gate decision applies.</t>
  </si>
  <si>
    <t xml:space="preserve">Design effect used for bounds</t>
  </si>
  <si>
    <t xml:space="preserve">Stratum names →</t>
  </si>
  <si>
    <t xml:space="preserve">Stratum 1</t>
  </si>
  <si>
    <t xml:space="preserve">Stratum 2</t>
  </si>
  <si>
    <t xml:space="preserve">Stratum 3</t>
  </si>
  <si>
    <t xml:space="preserve">Stratum 4</t>
  </si>
  <si>
    <t xml:space="preserve">One-sided z (95%)</t>
  </si>
  <si>
    <t xml:space="preserve">n: meters measured →</t>
  </si>
  <si>
    <t xml:space="preserve">n: bills measured →</t>
  </si>
  <si>
    <t xml:space="preserve">n: commands issued →</t>
  </si>
  <si>
    <t xml:space="preserve">Census stratum? (Y/N) →</t>
  </si>
  <si>
    <t xml:space="preserve">N</t>
  </si>
  <si>
    <t xml:space="preserve">Hypothesis</t>
  </si>
  <si>
    <t xml:space="preserve">Dir.</t>
  </si>
  <si>
    <t xml:space="preserve">Threshold</t>
  </si>
  <si>
    <t xml:space="preserve">Non-inferiority margin</t>
  </si>
  <si>
    <t xml:space="preserve">Designation</t>
  </si>
  <si>
    <t xml:space="preserve">Judged at</t>
  </si>
  <si>
    <t xml:space="preserve">Baseline</t>
  </si>
  <si>
    <t xml:space="preserve">S1 result</t>
  </si>
  <si>
    <t xml:space="preserve">S2 result</t>
  </si>
  <si>
    <t xml:space="preserve">S3 result</t>
  </si>
  <si>
    <t xml:space="preserve">S4 result</t>
  </si>
  <si>
    <t xml:space="preserve">S1 status</t>
  </si>
  <si>
    <t xml:space="preserve">S2 status</t>
  </si>
  <si>
    <t xml:space="preserve">S3 status</t>
  </si>
  <si>
    <t xml:space="preserve">S4 status</t>
  </si>
  <si>
    <t xml:space="preserve">Overall</t>
  </si>
  <si>
    <t xml:space="preserve">Data source / verified by</t>
  </si>
  <si>
    <t xml:space="preserve">H1</t>
  </si>
  <si>
    <t xml:space="preserve">AMI delivers interval data reliably</t>
  </si>
  <si>
    <t xml:space="preserve">Daily read success rate (≥95% of intervals by 06:00)</t>
  </si>
  <si>
    <t xml:space="preserve">≥</t>
  </si>
  <si>
    <t xml:space="preserve">meters</t>
  </si>
  <si>
    <t xml:space="preserve">Must-Pass</t>
  </si>
  <si>
    <t xml:space="preserve">Gate 3</t>
  </si>
  <si>
    <t xml:space="preserve">Monitor</t>
  </si>
  <si>
    <t xml:space="preserve">n/a</t>
  </si>
  <si>
    <t xml:space="preserve">H2</t>
  </si>
  <si>
    <t xml:space="preserve">AMI bills are correct</t>
  </si>
  <si>
    <t xml:space="preserve">Register-read reconciliation (matched within ±1 display digit ÷ sampled; ≥50 per stratum per cycle)</t>
  </si>
  <si>
    <t xml:space="preserve">Billing accuracy (no correction within 90 days)</t>
  </si>
  <si>
    <t xml:space="preserve">bills</t>
  </si>
  <si>
    <t xml:space="preserve">Gate 4</t>
  </si>
  <si>
    <t xml:space="preserve">H3</t>
  </si>
  <si>
    <t xml:space="preserve">AMI removes routine estimation</t>
  </si>
  <si>
    <t xml:space="preserve">Estimated-bill rate (estimated determinants)</t>
  </si>
  <si>
    <t xml:space="preserve">≤</t>
  </si>
  <si>
    <t xml:space="preserve">H4</t>
  </si>
  <si>
    <t xml:space="preserve">Remote operations are reliable and safe</t>
  </si>
  <si>
    <t xml:space="preserve">Remote command success (first attempt, within latency class 5 or 60 min; Must-Pass only if remote switching is in scope)</t>
  </si>
  <si>
    <t xml:space="preserve">commands</t>
  </si>
  <si>
    <t xml:space="preserve">Firmware update success (if a campaign runs)</t>
  </si>
  <si>
    <t xml:space="preserve">H5</t>
  </si>
  <si>
    <t xml:space="preserve">Systems are secure and available</t>
  </si>
  <si>
    <t xml:space="preserve">Unresolved security findings, as defined for each gate (Protocol 21.1), from P6 gate checks</t>
  </si>
  <si>
    <t xml:space="preserve">count</t>
  </si>
  <si>
    <t xml:space="preserve">Gates 3, 4, 5</t>
  </si>
  <si>
    <t xml:space="preserve">HES and MDMS availability</t>
  </si>
  <si>
    <t xml:space="preserve">H6</t>
  </si>
  <si>
    <t xml:space="preserve">Outages are detected</t>
  </si>
  <si>
    <t xml:space="preserve">Outage event capture (target set by technology)</t>
  </si>
  <si>
    <t xml:space="preserve">H7</t>
  </si>
  <si>
    <t xml:space="preserve">Consumers are served well</t>
  </si>
  <si>
    <t xml:space="preserve">Complaints acknowledged within 24 hours</t>
  </si>
  <si>
    <t xml:space="preserve">Average resolution, standard complaints</t>
  </si>
  <si>
    <t xml:space="preserve">working days</t>
  </si>
  <si>
    <t xml:space="preserve">Meter-test turnaround</t>
  </si>
  <si>
    <t xml:space="preserve">Consumer satisfaction (survey)</t>
  </si>
  <si>
    <t xml:space="preserve">H8</t>
  </si>
  <si>
    <t xml:space="preserve">AMI supports loss reduction</t>
  </si>
  <si>
    <t xml:space="preserve">Reduction in estimated non-technical loss rate vs transformer baseline, percentage points (21.3)</t>
  </si>
  <si>
    <t xml:space="preserve">pp</t>
  </si>
  <si>
    <t xml:space="preserve">H9</t>
  </si>
  <si>
    <t xml:space="preserve">Operating costs fall</t>
  </si>
  <si>
    <t xml:space="preserve">Meter-reading cost per account</t>
  </si>
  <si>
    <t xml:space="preserve">Summary</t>
  </si>
  <si>
    <t xml:space="preserve">Must-Pass KPIs</t>
  </si>
  <si>
    <t xml:space="preserve">Must-Pass not met in at least one stratum</t>
  </si>
  <si>
    <t xml:space="preserve">Must-Pass inconclusive, pending, or incomplete</t>
  </si>
  <si>
    <t xml:space="preserve">All Must-Pass KPIs passed in all strata?</t>
  </si>
  <si>
    <t xml:space="preserve">Must-Pass rate KPIs without a margin (set at Gate 2)</t>
  </si>
  <si>
    <t xml:space="preserve">Pass rule (Protocol 8.6): MET when the result meets the threshold AND the one-sided 95% bound (with design effect, on the KPI’s own denominator) is no worse than threshold − margin. Result meets threshold but bound does not = INCONCLUSIVE (extend or enlarge). Census strata, 100% or zero targets, and counts are judged on the result alone.</t>
  </si>
  <si>
    <t xml:space="preserve">Default margin equals the precision used to size the stratum: 1 point for the default sample (P2), 2 points on the lean path. Margins for bill- and command-based KPIs are illustrative and must be fixed in the Pilot Evaluation Plan at Gate 2. Low-volume segments (e.g., CT-connected meters) use P5 functional tests and 100% reconciliation. With pooled sector evidence, enter the combined n.</t>
  </si>
  <si>
    <t xml:space="preserve">Must-Pass KPIs, thresholds, and margins may be changed after Gate 2 only by the Board, never after results are known; record every change in P7. Defaults are provisional Metro Power recommendations, not service standards; ERC standards prevail.</t>
  </si>
  <si>
    <t xml:space="preserve">P2: Pilot Site Selection and Sample Design</t>
  </si>
  <si>
    <t xml:space="preserve">Stage M · Protocol Section 8.6. Default: ±1 point with design effect 1.5 (about 1,130 meters per stratum). Lean path with approval: ±2 points (about 280 meters).</t>
  </si>
  <si>
    <t xml:space="preserve">Selection criterion</t>
  </si>
  <si>
    <t xml:space="preserve">Area A</t>
  </si>
  <si>
    <t xml:space="preserve">Area B</t>
  </si>
  <si>
    <t xml:space="preserve">Area C</t>
  </si>
  <si>
    <t xml:space="preserve">Area D</t>
  </si>
  <si>
    <t xml:space="preserve">Represents consumer mix of full deployment</t>
  </si>
  <si>
    <t xml:space="preserve">Includes difficult communication conditions</t>
  </si>
  <si>
    <t xml:space="preserve">Historical system loss (baseline measurable)</t>
  </si>
  <si>
    <t xml:space="preserve">Meter-to-transformer mapping verifiable</t>
  </si>
  <si>
    <t xml:space="preserve">Load diversity (residential, commercial, industrial)</t>
  </si>
  <si>
    <t xml:space="preserve">Field accessibility and safety</t>
  </si>
  <si>
    <t xml:space="preserve">Barangay/LGU support</t>
  </si>
  <si>
    <t xml:space="preserve">Operational visibility needs (outages, voltage)</t>
  </si>
  <si>
    <t xml:space="preserve">Total weight / weighted score (1–5)</t>
  </si>
  <si>
    <t xml:space="preserve">Sample size calculator (per stratum)</t>
  </si>
  <si>
    <t xml:space="preserve">Parameter</t>
  </si>
  <si>
    <t xml:space="preserve">Explanation</t>
  </si>
  <si>
    <t xml:space="preserve">Expected rate (p)</t>
  </si>
  <si>
    <t xml:space="preserve">Expected value of the KPI, e.g., read success rate</t>
  </si>
  <si>
    <t xml:space="preserve">Margin of error (e)</t>
  </si>
  <si>
    <t xml:space="preserve">± precision required, as a fraction</t>
  </si>
  <si>
    <t xml:space="preserve">Confidence level</t>
  </si>
  <si>
    <t xml:space="preserve">Choose 90%, 95%, or 99%</t>
  </si>
  <si>
    <t xml:space="preserve">Design effect</t>
  </si>
  <si>
    <t xml:space="preserve">Inflation for clustering by area or concentrator (1.0 = none; 1.5–2.0 typical when failures cluster)</t>
  </si>
  <si>
    <t xml:space="preserve">z value</t>
  </si>
  <si>
    <t xml:space="preserve">Minimum meters in the stratum</t>
  </si>
  <si>
    <t xml:space="preserve">Values shown are an illustration (98% ± 1 point at 95% confidence, design effect 1.5). Without clustering (design effect 1.0) the answer is 753.</t>
  </si>
  <si>
    <t xml:space="preserve">Meters in the stratum (N), if small</t>
  </si>
  <si>
    <t xml:space="preserve">Leave blank for large strata. Used for the finite-population correction.</t>
  </si>
  <si>
    <t xml:space="preserve">Sample after finite-population correction</t>
  </si>
  <si>
    <t xml:space="preserve">Recommendation</t>
  </si>
  <si>
    <t xml:space="preserve">Protocol 8.6: census where the stratum has fewer than 300 meters or the corrected sample exceeds about 70% of it.</t>
  </si>
  <si>
    <t xml:space="preserve">Pilot strata</t>
  </si>
  <si>
    <t xml:space="preserve">Customer segment</t>
  </si>
  <si>
    <t xml:space="preserve">Meter type</t>
  </si>
  <si>
    <t xml:space="preserve">Communication technology</t>
  </si>
  <si>
    <t xml:space="preserve">Area type</t>
  </si>
  <si>
    <t xml:space="preserve">Meters planned</t>
  </si>
  <si>
    <t xml:space="preserve">Minimum required (after correction)</t>
  </si>
  <si>
    <t xml:space="preserve">Adequate?</t>
  </si>
  <si>
    <t xml:space="preserve">Comparison (non-pilot) area</t>
  </si>
  <si>
    <t xml:space="preserve">Census? (Y/N)</t>
  </si>
  <si>
    <t xml:space="preserve">P3: Pilot Budget and Cost Record</t>
  </si>
  <si>
    <t xml:space="preserve">Stages M and P · Protocol Sections 7 and 8 (deliverable P-5). Record actual costs, including internal labor, so the final business case uses real figures.</t>
  </si>
  <si>
    <t xml:space="preserve">Budget category</t>
  </si>
  <si>
    <t xml:space="preserve">Approved budget (PHP)</t>
  </si>
  <si>
    <t xml:space="preserve">Committed (PHP)</t>
  </si>
  <si>
    <t xml:space="preserve">Actual to date (PHP)</t>
  </si>
  <si>
    <t xml:space="preserve">Variance vs budget (PHP)</t>
  </si>
  <si>
    <t xml:space="preserve">Funding source</t>
  </si>
  <si>
    <t xml:space="preserve">Remarks</t>
  </si>
  <si>
    <t xml:space="preserve">Smart meters and modules</t>
  </si>
  <si>
    <t xml:space="preserve">Communication infrastructure</t>
  </si>
  <si>
    <t xml:space="preserve">HES and MDMS (licenses, hosting)</t>
  </si>
  <si>
    <t xml:space="preserve">Integration (CIS, OMS, GIS, CMDC)</t>
  </si>
  <si>
    <t xml:space="preserve">Installation labor and logistics</t>
  </si>
  <si>
    <t xml:space="preserve">Mapping verification and field surveys</t>
  </si>
  <si>
    <t xml:space="preserve">Testing (FAT, SAT, security testing)</t>
  </si>
  <si>
    <t xml:space="preserve">Cybersecurity controls</t>
  </si>
  <si>
    <t xml:space="preserve">Training</t>
  </si>
  <si>
    <t xml:space="preserve">Consumer engagement and education</t>
  </si>
  <si>
    <t xml:space="preserve">Project management</t>
  </si>
  <si>
    <t xml:space="preserve">Internal staff time (costed)</t>
  </si>
  <si>
    <t xml:space="preserve">Actual as % of budget</t>
  </si>
  <si>
    <t xml:space="preserve">P4: Program Plan (Stages A to E1)</t>
  </si>
  <si>
    <t xml:space="preserve">All stages · Protocol Sections 5–9. Replace the indicative activities with the utility's plan. Durations calculate from dates.</t>
  </si>
  <si>
    <t xml:space="preserve">Stage</t>
  </si>
  <si>
    <t xml:space="preserve">Activity</t>
  </si>
  <si>
    <t xml:space="preserve">Start</t>
  </si>
  <si>
    <t xml:space="preserve">Finish</t>
  </si>
  <si>
    <t xml:space="preserve">Days</t>
  </si>
  <si>
    <t xml:space="preserve">Status</t>
  </si>
  <si>
    <t xml:space="preserve">Depends on</t>
  </si>
  <si>
    <t xml:space="preserve">Deliverable / gate</t>
  </si>
  <si>
    <t xml:space="preserve">A</t>
  </si>
  <si>
    <t xml:space="preserve">Constitute Steering Committee and TWG; receive advisor disclosures (T10)</t>
  </si>
  <si>
    <t xml:space="preserve">Not started</t>
  </si>
  <si>
    <t xml:space="preserve">Agree AMI objectives</t>
  </si>
  <si>
    <t xml:space="preserve">A-4</t>
  </si>
  <si>
    <t xml:space="preserve">Readiness assessment and executive workshop</t>
  </si>
  <si>
    <t xml:space="preserve">A-1</t>
  </si>
  <si>
    <t xml:space="preserve">Measure operational baseline</t>
  </si>
  <si>
    <t xml:space="preserve">A-2</t>
  </si>
  <si>
    <t xml:space="preserve">Meter and systems inventory</t>
  </si>
  <si>
    <t xml:space="preserve">A-3</t>
  </si>
  <si>
    <t xml:space="preserve">Gap closure plan</t>
  </si>
  <si>
    <t xml:space="preserve">A-5</t>
  </si>
  <si>
    <t xml:space="preserve">Transformer meters on pilot-area sample (if loss benefit)</t>
  </si>
  <si>
    <t xml:space="preserve">Gate 1 decision</t>
  </si>
  <si>
    <t xml:space="preserve">Gate 1</t>
  </si>
  <si>
    <t xml:space="preserve">M</t>
  </si>
  <si>
    <t xml:space="preserve">Requirements specification</t>
  </si>
  <si>
    <t xml:space="preserve">M-1</t>
  </si>
  <si>
    <t xml:space="preserve">Communication field survey and feasibility study</t>
  </si>
  <si>
    <t xml:space="preserve">M-2</t>
  </si>
  <si>
    <t xml:space="preserve">Solution and security architecture</t>
  </si>
  <si>
    <t xml:space="preserve">M-3</t>
  </si>
  <si>
    <t xml:space="preserve">Privacy Impact Assessment</t>
  </si>
  <si>
    <t xml:space="preserve">M-4</t>
  </si>
  <si>
    <t xml:space="preserve">Preliminary business case</t>
  </si>
  <si>
    <t xml:space="preserve">M-5</t>
  </si>
  <si>
    <t xml:space="preserve">Pilot Evaluation Plan</t>
  </si>
  <si>
    <t xml:space="preserve">M-6</t>
  </si>
  <si>
    <t xml:space="preserve">Procurement package</t>
  </si>
  <si>
    <t xml:space="preserve">M-7</t>
  </si>
  <si>
    <t xml:space="preserve">Independent specification review for vendor bias (Protocol 13.3)</t>
  </si>
  <si>
    <t xml:space="preserve">Before issue</t>
  </si>
  <si>
    <t xml:space="preserve">Pilot consumer engagement plan</t>
  </si>
  <si>
    <t xml:space="preserve">M-8</t>
  </si>
  <si>
    <t xml:space="preserve">Data Migration and Cleansing Plan</t>
  </si>
  <si>
    <t xml:space="preserve">M-9</t>
  </si>
  <si>
    <t xml:space="preserve">Early engagement with the ERC and, for ECs, the NEA on approach</t>
  </si>
  <si>
    <t xml:space="preserve">Independent gate review (T9)</t>
  </si>
  <si>
    <t xml:space="preserve">Before Gate 2</t>
  </si>
  <si>
    <t xml:space="preserve">Gate 2 decision (Board)</t>
  </si>
  <si>
    <t xml:space="preserve">Gate 2</t>
  </si>
  <si>
    <t xml:space="preserve">P</t>
  </si>
  <si>
    <t xml:space="preserve">Procurement and contract award</t>
  </si>
  <si>
    <t xml:space="preserve">Factory Acceptance Testing</t>
  </si>
  <si>
    <t xml:space="preserve">P-1</t>
  </si>
  <si>
    <t xml:space="preserve">Consumer notification in pilot areas</t>
  </si>
  <si>
    <t xml:space="preserve">Installation and mapping verification</t>
  </si>
  <si>
    <t xml:space="preserve">P-2</t>
  </si>
  <si>
    <t xml:space="preserve">Site Acceptance and integration testing</t>
  </si>
  <si>
    <t xml:space="preserve">Security testing</t>
  </si>
  <si>
    <t xml:space="preserve">P-3</t>
  </si>
  <si>
    <t xml:space="preserve">Pilot operation (≥ 3 billing cycles)</t>
  </si>
  <si>
    <t xml:space="preserve">P-4</t>
  </si>
  <si>
    <t xml:space="preserve">Gate 3 technical acceptance</t>
  </si>
  <si>
    <t xml:space="preserve">E1</t>
  </si>
  <si>
    <t xml:space="preserve">Pilot evaluation and data-quality review</t>
  </si>
  <si>
    <t xml:space="preserve">E-1</t>
  </si>
  <si>
    <t xml:space="preserve">Final business case</t>
  </si>
  <si>
    <t xml:space="preserve">E-2</t>
  </si>
  <si>
    <t xml:space="preserve">Rollout strategy</t>
  </si>
  <si>
    <t xml:space="preserve">E-3</t>
  </si>
  <si>
    <t xml:space="preserve">Regulatory application package</t>
  </si>
  <si>
    <t xml:space="preserve">E-4</t>
  </si>
  <si>
    <t xml:space="preserve">Consumer and member consultation on program and rate impact (Protocol 17.7)</t>
  </si>
  <si>
    <t xml:space="preserve">Gate 4 Must</t>
  </si>
  <si>
    <t xml:space="preserve">Workforce Transition Plan with employee/union consultation (Protocol 12.1)</t>
  </si>
  <si>
    <t xml:space="preserve">ERC, supervising-agency, and lender approvals; conditional rollout contracts (Protocol 9.7)</t>
  </si>
  <si>
    <t xml:space="preserve">Board decision paper</t>
  </si>
  <si>
    <t xml:space="preserve">E-5</t>
  </si>
  <si>
    <t xml:space="preserve">Before Gate 4</t>
  </si>
  <si>
    <t xml:space="preserve">Gate 4 investment decision (Board)</t>
  </si>
  <si>
    <t xml:space="preserve">P5: Acceptance Test Catalog</t>
  </si>
  <si>
    <t xml:space="preserve">Stage P · Protocol Section 8 and Annex E. Starting catalog: adapt test methods and criteria to the contract specification. Every failed test gets an entry in P6 (functional defect or security finding).</t>
  </si>
  <si>
    <t xml:space="preserve">Test ID</t>
  </si>
  <si>
    <t xml:space="preserve">Phase</t>
  </si>
  <si>
    <t xml:space="preserve">Test</t>
  </si>
  <si>
    <t xml:space="preserve">Method (summary)</t>
  </si>
  <si>
    <t xml:space="preserve">Acceptance criterion</t>
  </si>
  <si>
    <t xml:space="preserve">Date</t>
  </si>
  <si>
    <t xml:space="preserve">Tester / witness</t>
  </si>
  <si>
    <t xml:space="preserve">Defect ref.</t>
  </si>
  <si>
    <t xml:space="preserve">Tests</t>
  </si>
  <si>
    <t xml:space="preserve">Pass</t>
  </si>
  <si>
    <t xml:space="preserve">Fail</t>
  </si>
  <si>
    <t xml:space="preserve">Not run</t>
  </si>
  <si>
    <t xml:space="preserve">TC-001</t>
  </si>
  <si>
    <t xml:space="preserve">FAT</t>
  </si>
  <si>
    <t xml:space="preserve">Meter</t>
  </si>
  <si>
    <t xml:space="preserve">Accuracy at test points of the accuracy class</t>
  </si>
  <si>
    <t xml:space="preserve">Reference-standard test at the load points defined by the applicable standard (IEC 62053 / ANSI C12.20)</t>
  </si>
  <si>
    <t xml:space="preserve">Errors within class limits at all points</t>
  </si>
  <si>
    <t xml:space="preserve">Tender</t>
  </si>
  <si>
    <t xml:space="preserve">TC-002</t>
  </si>
  <si>
    <t xml:space="preserve">Starting current and no-load (creep)</t>
  </si>
  <si>
    <t xml:space="preserve">Apply starting current; apply voltage with no load</t>
  </si>
  <si>
    <t xml:space="preserve">Registers at starting current; no creep</t>
  </si>
  <si>
    <t xml:space="preserve">Receiving</t>
  </si>
  <si>
    <t xml:space="preserve">TC-003</t>
  </si>
  <si>
    <t xml:space="preserve">Voltage and frequency variation</t>
  </si>
  <si>
    <t xml:space="preserve">Vary within specified ranges</t>
  </si>
  <si>
    <t xml:space="preserve">Errors within limits; no resets</t>
  </si>
  <si>
    <t xml:space="preserve">TC-004</t>
  </si>
  <si>
    <t xml:space="preserve">Display vs communicated register</t>
  </si>
  <si>
    <t xml:space="preserve">Compare display with value read through HES</t>
  </si>
  <si>
    <t xml:space="preserve">Identical values</t>
  </si>
  <si>
    <t xml:space="preserve">SAT</t>
  </si>
  <si>
    <t xml:space="preserve">TC-005</t>
  </si>
  <si>
    <t xml:space="preserve">Real-time clock accuracy</t>
  </si>
  <si>
    <t xml:space="preserve">Compare with reference after drift period</t>
  </si>
  <si>
    <t xml:space="preserve">Drift ≤ 0.5 s/day (IEC 62054-21); ±5 s after sync</t>
  </si>
  <si>
    <t xml:space="preserve">Integration</t>
  </si>
  <si>
    <t xml:space="preserve">TC-006</t>
  </si>
  <si>
    <t xml:space="preserve">Load profile storage and retention</t>
  </si>
  <si>
    <t xml:space="preserve">Record profile; power down; retrieve</t>
  </si>
  <si>
    <t xml:space="preserve">Complete profile retained for specified days</t>
  </si>
  <si>
    <t xml:space="preserve">TC-007</t>
  </si>
  <si>
    <t xml:space="preserve">Event log capture</t>
  </si>
  <si>
    <t xml:space="preserve">Trigger power fail, restore, voltage events</t>
  </si>
  <si>
    <t xml:space="preserve">All events logged with correct timestamps</t>
  </si>
  <si>
    <t xml:space="preserve">TC-008</t>
  </si>
  <si>
    <t xml:space="preserve">Tamper: main cover and terminal cover open</t>
  </si>
  <si>
    <t xml:space="preserve">Open covers under power and without power</t>
  </si>
  <si>
    <t xml:space="preserve">Event raised and communicated</t>
  </si>
  <si>
    <t xml:space="preserve">UAT</t>
  </si>
  <si>
    <t xml:space="preserve">TC-009</t>
  </si>
  <si>
    <t xml:space="preserve">Tamper: magnetic interference</t>
  </si>
  <si>
    <t xml:space="preserve">Apply magnet per specification</t>
  </si>
  <si>
    <t xml:space="preserve">Event raised; accuracy behavior as specified</t>
  </si>
  <si>
    <t xml:space="preserve">Pilot</t>
  </si>
  <si>
    <t xml:space="preserve">TC-010</t>
  </si>
  <si>
    <t xml:space="preserve">Tamper: reverse current and neutral disturbance</t>
  </si>
  <si>
    <t xml:space="preserve">Reverse connection; remove neutral; earth load</t>
  </si>
  <si>
    <t xml:space="preserve">Event raised; energy registered as specified</t>
  </si>
  <si>
    <t xml:space="preserve">TC-011</t>
  </si>
  <si>
    <t xml:space="preserve">Service switch operation</t>
  </si>
  <si>
    <t xml:space="preserve">Connect/disconnect/reconnect at rated current, repeated</t>
  </si>
  <si>
    <t xml:space="preserve">Operates every time; status reported correctly</t>
  </si>
  <si>
    <t xml:space="preserve">TC-012</t>
  </si>
  <si>
    <t xml:space="preserve">Unsigned firmware rejected</t>
  </si>
  <si>
    <t xml:space="preserve">Attempt to load unsigned or altered firmware</t>
  </si>
  <si>
    <t xml:space="preserve">Rejected and event logged</t>
  </si>
  <si>
    <t xml:space="preserve">TC-013</t>
  </si>
  <si>
    <t xml:space="preserve">Bidirectional registers (net metering)</t>
  </si>
  <si>
    <t xml:space="preserve">Apply import and export</t>
  </si>
  <si>
    <t xml:space="preserve">Separate registers correct</t>
  </si>
  <si>
    <t xml:space="preserve">TC-014</t>
  </si>
  <si>
    <t xml:space="preserve">Prepaid credit behavior</t>
  </si>
  <si>
    <t xml:space="preserve">Credit exhaustion, top-up, emergency credit, friendly hours</t>
  </si>
  <si>
    <t xml:space="preserve">Behaves per specification and ERC prepaid rules</t>
  </si>
  <si>
    <t xml:space="preserve">TC-015</t>
  </si>
  <si>
    <t xml:space="preserve">STS token handling and keys (if token prepaid)</t>
  </si>
  <si>
    <t xml:space="preserve">Load valid, duplicate, expired, and wrong-supply-group tokens; key change tokens; tokens with identifiers in the post-November-2024 range</t>
  </si>
  <si>
    <t xml:space="preserve">Valid tokens only accepted; key change works; post-2024 token identifiers accepted; vending keys from the KMC under utility control</t>
  </si>
  <si>
    <t xml:space="preserve">TC-016</t>
  </si>
  <si>
    <t xml:space="preserve">Logistics</t>
  </si>
  <si>
    <t xml:space="preserve">Lot receiving inspection</t>
  </si>
  <si>
    <t xml:space="preserve">Sample incoming lot per the acceptance-sampling plan</t>
  </si>
  <si>
    <t xml:space="preserve">Defects within the acceptance number</t>
  </si>
  <si>
    <t xml:space="preserve">TC-017</t>
  </si>
  <si>
    <t xml:space="preserve">Documents</t>
  </si>
  <si>
    <t xml:space="preserve">Type approval and certificates</t>
  </si>
  <si>
    <t xml:space="preserve">Review ERC type approval and accredited lab reports at bid evaluation, and again for each delivered lot</t>
  </si>
  <si>
    <t xml:space="preserve">Valid type approval for every model and firmware before installation</t>
  </si>
  <si>
    <t xml:space="preserve">TC-018</t>
  </si>
  <si>
    <t xml:space="preserve">Read success by area (commissioning check)</t>
  </si>
  <si>
    <t xml:space="preserve">Collect daily reads for one full billing cycle after commissioning, before the measurement period starts</t>
  </si>
  <si>
    <t xml:space="preserve">Trending to the P1 threshold in every stratum; the formal result comes from the measurement period</t>
  </si>
  <si>
    <t xml:space="preserve">TC-019</t>
  </si>
  <si>
    <t xml:space="preserve">Systems</t>
  </si>
  <si>
    <t xml:space="preserve">Clock synchronization</t>
  </si>
  <si>
    <t xml:space="preserve">Check meter clocks against the HES reference after synchronization</t>
  </si>
  <si>
    <t xml:space="preserve">Within ±5 seconds; HES time source traceable</t>
  </si>
  <si>
    <t xml:space="preserve">TC-020</t>
  </si>
  <si>
    <t xml:space="preserve">Disaster recovery of HES/MDMS</t>
  </si>
  <si>
    <t xml:space="preserve">Fail over or restore to the recovery site</t>
  </si>
  <si>
    <t xml:space="preserve">Recovered within the specified recovery time; data loss within the recovery point</t>
  </si>
  <si>
    <t xml:space="preserve">TC-021</t>
  </si>
  <si>
    <t xml:space="preserve">Interoperability certificates</t>
  </si>
  <si>
    <t xml:space="preserve">Review DLMS UA, Wi-SUN, or other certificates required by the specification</t>
  </si>
  <si>
    <t xml:space="preserve">Valid certificates for the supplied models and firmware</t>
  </si>
  <si>
    <t xml:space="preserve">TC-022</t>
  </si>
  <si>
    <t xml:space="preserve">On-demand read latency</t>
  </si>
  <si>
    <t xml:space="preserve">Sample on-demand reads across areas</t>
  </si>
  <si>
    <t xml:space="preserve">Within specified time</t>
  </si>
  <si>
    <t xml:space="preserve">TC-023</t>
  </si>
  <si>
    <t xml:space="preserve">Recovery after power outage</t>
  </si>
  <si>
    <t xml:space="preserve">Simulate area outage and restoration</t>
  </si>
  <si>
    <t xml:space="preserve">Devices rejoin and reads resume within specified time</t>
  </si>
  <si>
    <t xml:space="preserve">TC-024</t>
  </si>
  <si>
    <t xml:space="preserve">Collector/concentrator backup power</t>
  </si>
  <si>
    <t xml:space="preserve">Remove mains supply</t>
  </si>
  <si>
    <t xml:space="preserve">Operates for specified duration</t>
  </si>
  <si>
    <t xml:space="preserve">TC-025</t>
  </si>
  <si>
    <t xml:space="preserve">Weak-signal and difficult areas</t>
  </si>
  <si>
    <t xml:space="preserve">Test worst surveyed locations</t>
  </si>
  <si>
    <t xml:space="preserve">Link margin met or mitigation installed</t>
  </si>
  <si>
    <t xml:space="preserve">TC-026</t>
  </si>
  <si>
    <t xml:space="preserve">Backhaul failover</t>
  </si>
  <si>
    <t xml:space="preserve">Disconnect primary backhaul</t>
  </si>
  <si>
    <t xml:space="preserve">Traffic moves to secondary if specified</t>
  </si>
  <si>
    <t xml:space="preserve">TC-027</t>
  </si>
  <si>
    <t xml:space="preserve">Installation</t>
  </si>
  <si>
    <t xml:space="preserve">Mapping and seal records</t>
  </si>
  <si>
    <t xml:space="preserve">Audit sample of installations</t>
  </si>
  <si>
    <t xml:space="preserve">100% of sample has correct mapping, GPS, photo, and seal records</t>
  </si>
  <si>
    <t xml:space="preserve">TC-028</t>
  </si>
  <si>
    <t xml:space="preserve">HES</t>
  </si>
  <si>
    <t xml:space="preserve">Scheduled and on-demand reads</t>
  </si>
  <si>
    <t xml:space="preserve">Run schedules; issue on-demand reads</t>
  </si>
  <si>
    <t xml:space="preserve">Complete and correct</t>
  </si>
  <si>
    <t xml:space="preserve">TC-029</t>
  </si>
  <si>
    <t xml:space="preserve">Command confirmation</t>
  </si>
  <si>
    <t xml:space="preserve">Issue connect/disconnect; verify status</t>
  </si>
  <si>
    <t xml:space="preserve">Status confirmed; failures flagged</t>
  </si>
  <si>
    <t xml:space="preserve">TC-030</t>
  </si>
  <si>
    <t xml:space="preserve">Disconnect time-window blocking</t>
  </si>
  <si>
    <t xml:space="preserve">Attempt disconnect outside permitted windows</t>
  </si>
  <si>
    <t xml:space="preserve">Command blocked and logged</t>
  </si>
  <si>
    <t xml:space="preserve">TC-031</t>
  </si>
  <si>
    <t xml:space="preserve">Calamity suspension by area</t>
  </si>
  <si>
    <t xml:space="preserve">Activate one-step suspension of disconnections for an area</t>
  </si>
  <si>
    <t xml:space="preserve">All disconnections in the area blocked until lifted</t>
  </si>
  <si>
    <t xml:space="preserve">TC-032</t>
  </si>
  <si>
    <t xml:space="preserve">Account-to-meter verification before disconnect</t>
  </si>
  <si>
    <t xml:space="preserve">Attempt disconnect where account and meter records disagree</t>
  </si>
  <si>
    <t xml:space="preserve">Command blocked pending verification</t>
  </si>
  <si>
    <t xml:space="preserve">TC-033</t>
  </si>
  <si>
    <t xml:space="preserve">Bulk command rate limit</t>
  </si>
  <si>
    <t xml:space="preserve">Attempt mass disconnect above limit</t>
  </si>
  <si>
    <t xml:space="preserve">Blocked; alert raised</t>
  </si>
  <si>
    <t xml:space="preserve">TC-034</t>
  </si>
  <si>
    <t xml:space="preserve">Firmware campaign</t>
  </si>
  <si>
    <t xml:space="preserve">Staged rollout with rollback</t>
  </si>
  <si>
    <t xml:space="preserve">Target success rate met; rollback works</t>
  </si>
  <si>
    <t xml:space="preserve">TC-035</t>
  </si>
  <si>
    <t xml:space="preserve">Key rotation</t>
  </si>
  <si>
    <t xml:space="preserve">Rotate device keys</t>
  </si>
  <si>
    <t xml:space="preserve">Communication continues; old keys invalid</t>
  </si>
  <si>
    <t xml:space="preserve">TC-036</t>
  </si>
  <si>
    <t xml:space="preserve">MDMS/VEE</t>
  </si>
  <si>
    <t xml:space="preserve">Missing and duplicate data detection</t>
  </si>
  <si>
    <t xml:space="preserve">Inject gaps and duplicates</t>
  </si>
  <si>
    <t xml:space="preserve">Detected and handled per rules</t>
  </si>
  <si>
    <t xml:space="preserve">TC-037</t>
  </si>
  <si>
    <t xml:space="preserve">Negative, zero, and spike detection</t>
  </si>
  <si>
    <t xml:space="preserve">Inject anomalous data</t>
  </si>
  <si>
    <t xml:space="preserve">Flagged per rules</t>
  </si>
  <si>
    <t xml:space="preserve">TC-038</t>
  </si>
  <si>
    <t xml:space="preserve">Estimation methods</t>
  </si>
  <si>
    <t xml:space="preserve">Force estimation cases</t>
  </si>
  <si>
    <t xml:space="preserve">Correct method applied and flagged on bill</t>
  </si>
  <si>
    <t xml:space="preserve">TC-039</t>
  </si>
  <si>
    <t xml:space="preserve">Manual edit controls</t>
  </si>
  <si>
    <t xml:space="preserve">Edit data above and below threshold</t>
  </si>
  <si>
    <t xml:space="preserve">Audit trail complete; dual approval enforced</t>
  </si>
  <si>
    <t xml:space="preserve">TC-040</t>
  </si>
  <si>
    <t xml:space="preserve">Register vs interval sum</t>
  </si>
  <si>
    <t xml:space="preserve">Compare register delta with interval total</t>
  </si>
  <si>
    <t xml:space="preserve">Within specified tolerance</t>
  </si>
  <si>
    <t xml:space="preserve">TC-041</t>
  </si>
  <si>
    <t xml:space="preserve">Multiplier error detection</t>
  </si>
  <si>
    <t xml:space="preserve">Inject consumption inconsistent with the CT/VT multiplier</t>
  </si>
  <si>
    <t xml:space="preserve">Flagged for review</t>
  </si>
  <si>
    <t xml:space="preserve">TC-042</t>
  </si>
  <si>
    <t xml:space="preserve">Reverse energy on non-net-metered account</t>
  </si>
  <si>
    <t xml:space="preserve">Inject export on an import-only account</t>
  </si>
  <si>
    <t xml:space="preserve">Flagged for investigation</t>
  </si>
  <si>
    <t xml:space="preserve">TC-043</t>
  </si>
  <si>
    <t xml:space="preserve">Meter-exchange continuity</t>
  </si>
  <si>
    <t xml:space="preserve">Process a meter exchange</t>
  </si>
  <si>
    <t xml:space="preserve">Old meter final read reconciles with new meter first read</t>
  </si>
  <si>
    <t xml:space="preserve">TC-044</t>
  </si>
  <si>
    <t xml:space="preserve">Outage-aware zero consumption</t>
  </si>
  <si>
    <t xml:space="preserve">Inject zero consumption during a recorded outage</t>
  </si>
  <si>
    <t xml:space="preserve">Treated as outage, not a validation failure</t>
  </si>
  <si>
    <t xml:space="preserve">TC-045</t>
  </si>
  <si>
    <t xml:space="preserve">Meter-to-bill end to end</t>
  </si>
  <si>
    <t xml:space="preserve">Run full billing cycle for pilot accounts</t>
  </si>
  <si>
    <t xml:space="preserve">Bills correct against independent calculation</t>
  </si>
  <si>
    <t xml:space="preserve">TC-046</t>
  </si>
  <si>
    <t xml:space="preserve">Billing determinants before cut-off</t>
  </si>
  <si>
    <t xml:space="preserve">Monitor delivery timing</t>
  </si>
  <si>
    <t xml:space="preserve">Delivered before cut-off; exceptions reported</t>
  </si>
  <si>
    <t xml:space="preserve">TC-047</t>
  </si>
  <si>
    <t xml:space="preserve">Account events</t>
  </si>
  <si>
    <t xml:space="preserve">Move-in, move-out, meter exchange, tariff change</t>
  </si>
  <si>
    <t xml:space="preserve">Handled correctly in CIS and MDMS</t>
  </si>
  <si>
    <t xml:space="preserve">TC-048</t>
  </si>
  <si>
    <t xml:space="preserve">OMS/GIS</t>
  </si>
  <si>
    <t xml:space="preserve">Outage and restoration events</t>
  </si>
  <si>
    <t xml:space="preserve">Simulate outages</t>
  </si>
  <si>
    <t xml:space="preserve">Events reach OMS; restoration verified by ping</t>
  </si>
  <si>
    <t xml:space="preserve">TC-049</t>
  </si>
  <si>
    <t xml:space="preserve">Transformer aggregation</t>
  </si>
  <si>
    <t xml:space="preserve">Compare meter mapping with GIS</t>
  </si>
  <si>
    <t xml:space="preserve">Aggregation matches network model</t>
  </si>
  <si>
    <t xml:space="preserve">TC-050</t>
  </si>
  <si>
    <t xml:space="preserve">Consumer</t>
  </si>
  <si>
    <t xml:space="preserve">CMDC and usage access</t>
  </si>
  <si>
    <t xml:space="preserve">Consumer retrieves own data</t>
  </si>
  <si>
    <t xml:space="preserve">Correct data; only own account visible</t>
  </si>
  <si>
    <t xml:space="preserve">TC-051</t>
  </si>
  <si>
    <t xml:space="preserve">Data</t>
  </si>
  <si>
    <t xml:space="preserve">Data export</t>
  </si>
  <si>
    <t xml:space="preserve">Export all data types</t>
  </si>
  <si>
    <t xml:space="preserve">Documented, non-proprietary format; complete</t>
  </si>
  <si>
    <t xml:space="preserve">TC-052</t>
  </si>
  <si>
    <t xml:space="preserve">Vulnerability assessment</t>
  </si>
  <si>
    <t xml:space="preserve">Independent scan of HES, MDMS, network, APIs</t>
  </si>
  <si>
    <t xml:space="preserve">No open Critical; High only within deadline with compensating control (P6)</t>
  </si>
  <si>
    <t xml:space="preserve">TC-053</t>
  </si>
  <si>
    <t xml:space="preserve">Penetration test</t>
  </si>
  <si>
    <t xml:space="preserve">Independent test, including remote access and APIs</t>
  </si>
  <si>
    <t xml:space="preserve">TC-054</t>
  </si>
  <si>
    <t xml:space="preserve">MFA and role-based access</t>
  </si>
  <si>
    <t xml:space="preserve">Attempt privileged access without MFA; test roles</t>
  </si>
  <si>
    <t xml:space="preserve">Denied; roles enforced</t>
  </si>
  <si>
    <t xml:space="preserve">TC-055</t>
  </si>
  <si>
    <t xml:space="preserve">Network segmentation</t>
  </si>
  <si>
    <t xml:space="preserve">Test paths between AMI, IT, and OT zones</t>
  </si>
  <si>
    <t xml:space="preserve">Only approved flows possible</t>
  </si>
  <si>
    <t xml:space="preserve">TC-056</t>
  </si>
  <si>
    <t xml:space="preserve">Logging and alerting</t>
  </si>
  <si>
    <t xml:space="preserve">Generate security events</t>
  </si>
  <si>
    <t xml:space="preserve">Logged centrally; alerts reach responders</t>
  </si>
  <si>
    <t xml:space="preserve">TC-057</t>
  </si>
  <si>
    <t xml:space="preserve">Backup and restore</t>
  </si>
  <si>
    <t xml:space="preserve">Restore HES/MDMS from backup</t>
  </si>
  <si>
    <t xml:space="preserve">Restored within specified time; data complete</t>
  </si>
  <si>
    <t xml:space="preserve">TC-058</t>
  </si>
  <si>
    <t xml:space="preserve">Incident response exercise</t>
  </si>
  <si>
    <t xml:space="preserve">Tabletop exercise including regulatory notification</t>
  </si>
  <si>
    <t xml:space="preserve">Plan executed; gaps recorded</t>
  </si>
  <si>
    <t xml:space="preserve">TC-059</t>
  </si>
  <si>
    <t xml:space="preserve">Full-deployment volume</t>
  </si>
  <si>
    <t xml:space="preserve">Load test at projected full volume plus growth</t>
  </si>
  <si>
    <t xml:space="preserve">Processing within billing window</t>
  </si>
  <si>
    <t xml:space="preserve">TC-060</t>
  </si>
  <si>
    <t xml:space="preserve">Report and dashboard response</t>
  </si>
  <si>
    <t xml:space="preserve">Run standard reports at volume</t>
  </si>
  <si>
    <t xml:space="preserve">Within specified response time</t>
  </si>
  <si>
    <t xml:space="preserve">TC-061</t>
  </si>
  <si>
    <t xml:space="preserve">Users</t>
  </si>
  <si>
    <t xml:space="preserve">Consumer services inquiry handling</t>
  </si>
  <si>
    <t xml:space="preserve">Frontliners handle scripted scenarios</t>
  </si>
  <si>
    <t xml:space="preserve">Resolved using system data</t>
  </si>
  <si>
    <t xml:space="preserve">TC-062</t>
  </si>
  <si>
    <t xml:space="preserve">Billing exception processing</t>
  </si>
  <si>
    <t xml:space="preserve">Billing staff clear exception queue</t>
  </si>
  <si>
    <t xml:space="preserve">Cleared per procedure</t>
  </si>
  <si>
    <t xml:space="preserve">TC-063</t>
  </si>
  <si>
    <t xml:space="preserve">Field installation and commissioning</t>
  </si>
  <si>
    <t xml:space="preserve">Technicians install and commission</t>
  </si>
  <si>
    <t xml:space="preserve">Completed per procedure, safely</t>
  </si>
  <si>
    <t xml:space="preserve">TC-064</t>
  </si>
  <si>
    <t xml:space="preserve">Loss analysis</t>
  </si>
  <si>
    <t xml:space="preserve">Analyst runs transformer balancing report</t>
  </si>
  <si>
    <t xml:space="preserve">Report correct; investigation list produced</t>
  </si>
  <si>
    <t xml:space="preserve">TC-065</t>
  </si>
  <si>
    <t xml:space="preserve">Register-read reconciliation</t>
  </si>
  <si>
    <t xml:space="preserve">Physical reads vs system values each cycle</t>
  </si>
  <si>
    <t xml:space="preserve">Meets P1 threshold; all mismatches root-caused</t>
  </si>
  <si>
    <t xml:space="preserve">TC-066</t>
  </si>
  <si>
    <t xml:space="preserve">Comparison-area analysis</t>
  </si>
  <si>
    <t xml:space="preserve">Compare pilot and comparison areas over same period</t>
  </si>
  <si>
    <t xml:space="preserve">Method and results documented</t>
  </si>
  <si>
    <t xml:space="preserve">TC-067</t>
  </si>
  <si>
    <t xml:space="preserve">Disconnection window reconfiguration</t>
  </si>
  <si>
    <t xml:space="preserve">Change permitted days, hours, notice period, and holiday calendar as parameters</t>
  </si>
  <si>
    <t xml:space="preserve">New windows enforced without software change</t>
  </si>
  <si>
    <t xml:space="preserve">TC-068</t>
  </si>
  <si>
    <t xml:space="preserve">Wrapped key import and key replacement after commissioning</t>
  </si>
  <si>
    <t xml:space="preserve">Import manufacturing keys in wrapped form; replace with utility keys</t>
  </si>
  <si>
    <t xml:space="preserve">Keys never exposed in clear; old keys rejected</t>
  </si>
  <si>
    <t xml:space="preserve">TC-069</t>
  </si>
  <si>
    <t xml:space="preserve">Private APN / VPN for cellular meters</t>
  </si>
  <si>
    <t xml:space="preserve">Attempt to reach meters from the public internet</t>
  </si>
  <si>
    <t xml:space="preserve">No route; traffic only through private APN or VPN</t>
  </si>
  <si>
    <t xml:space="preserve">TC-070</t>
  </si>
  <si>
    <t xml:space="preserve">Supply-chain evidence</t>
  </si>
  <si>
    <t xml:space="preserve">Review SBOM, disclosure process, signing-key controls, vendor jump-host access</t>
  </si>
  <si>
    <t xml:space="preserve">Meets Annex E.6</t>
  </si>
  <si>
    <t xml:space="preserve">TC-071</t>
  </si>
  <si>
    <t xml:space="preserve">Tenant isolation and platform-wide disconnect cap (shared platforms)</t>
  </si>
  <si>
    <t xml:space="preserve">Attempt cross-tenant access; attempt disconnects above the platform cap</t>
  </si>
  <si>
    <t xml:space="preserve">No cross-tenant access; cap enforced</t>
  </si>
  <si>
    <t xml:space="preserve">P6: Defects and Security Findings</t>
  </si>
  <si>
    <t xml:space="preserve">Stages P, R, and E2 · Protocol Sections 8, 16.1. Functional defects and security findings use separate severity scales. Security findings carry remediation deadlines; the gate checks below apply the Section 16.1 rule.</t>
  </si>
  <si>
    <t xml:space="preserve">Scale</t>
  </si>
  <si>
    <t xml:space="preserve">Severity</t>
  </si>
  <si>
    <t xml:space="preserve">Remediation deadline (days)</t>
  </si>
  <si>
    <t xml:space="preserve">Gate checks</t>
  </si>
  <si>
    <t xml:space="preserve">Count / result</t>
  </si>
  <si>
    <t xml:space="preserve">Functional</t>
  </si>
  <si>
    <t xml:space="preserve">Critical</t>
  </si>
  <si>
    <t xml:space="preserve">Safety risk, wrong bills at scale, or loss of core function; no workaround</t>
  </si>
  <si>
    <t xml:space="preserve">Open functional Critical/Major</t>
  </si>
  <si>
    <t xml:space="preserve">Major</t>
  </si>
  <si>
    <t xml:space="preserve">Core function impaired; workaround not sustainable</t>
  </si>
  <si>
    <t xml:space="preserve">Open security Critical</t>
  </si>
  <si>
    <t xml:space="preserve">Minor</t>
  </si>
  <si>
    <t xml:space="preserve">Non-core function impaired, or acceptable workaround</t>
  </si>
  <si>
    <t xml:space="preserve">Medium</t>
  </si>
  <si>
    <t xml:space="preserve">Open security High past deadline or without compensating control</t>
  </si>
  <si>
    <t xml:space="preserve">Cosmetic</t>
  </si>
  <si>
    <t xml:space="preserve">No functional impact</t>
  </si>
  <si>
    <t xml:space="preserve">As-of date</t>
  </si>
  <si>
    <t xml:space="preserve">Critical or High past deadline (Gate 5 cohort check)</t>
  </si>
  <si>
    <t xml:space="preserve">Critical / High / Medium / Low</t>
  </si>
  <si>
    <t xml:space="preserve">Rated with a recognized scoring method such as CVSS; remediation deadlines at right</t>
  </si>
  <si>
    <t xml:space="preserve">Gate 3 / Gate 4 check</t>
  </si>
  <si>
    <t xml:space="preserve">Gate 5 cohort security check</t>
  </si>
  <si>
    <t xml:space="preserve">“Accepted risk” counts as open. A Critical finding cannot be accepted as a risk at Gates 3–5; a High finding may remain open at Gates 3 and 4 only within its deadline, with an approved compensating control, and listed in the decision paper (Protocol 16.1).</t>
  </si>
  <si>
    <t xml:space="preserve">For systems in service, a new Critical finding needs an approved compensating control within 72 hours, or the affected function (e.g., remote disconnection, firmware distribution) is suspended.</t>
  </si>
  <si>
    <t xml:space="preserve">Date raised</t>
  </si>
  <si>
    <t xml:space="preserve">Root cause</t>
  </si>
  <si>
    <t xml:space="preserve">Corrective action</t>
  </si>
  <si>
    <t xml:space="preserve">Target date (functional)</t>
  </si>
  <si>
    <t xml:space="preserve">Security remediation deadline</t>
  </si>
  <si>
    <t xml:space="preserve">Compensating control approved (Y/N)</t>
  </si>
  <si>
    <t xml:space="preserve">Retest result</t>
  </si>
  <si>
    <t xml:space="preserve">Date closed</t>
  </si>
  <si>
    <t xml:space="preserve">Deadline status</t>
  </si>
  <si>
    <t xml:space="preserve">EXAMPLE D-001</t>
  </si>
  <si>
    <t xml:space="preserve">On-demand reads exceed specified latency in one feeder area</t>
  </si>
  <si>
    <t xml:space="preserve">Collector placement leaves weak links</t>
  </si>
  <si>
    <t xml:space="preserve">Add repeater; re-survey</t>
  </si>
  <si>
    <t xml:space="preserve">Vendor / TWG</t>
  </si>
  <si>
    <t xml:space="preserve">Open</t>
  </si>
  <si>
    <t xml:space="preserve">P7: Pilot Analysis Plan and Amendment Log</t>
  </si>
  <si>
    <t xml:space="preserve">Stages M, P, E · Protocol Section 8.6 and Annex C.2 (applies SPIRIT 2025 principles). Complete the analysis plan before Gate 2; log every later change.</t>
  </si>
  <si>
    <t xml:space="preserve">Analysis plan item</t>
  </si>
  <si>
    <t xml:space="preserve">Entry</t>
  </si>
  <si>
    <t xml:space="preserve">KPI calculation method and data source (reference P1 row for each KPI)</t>
  </si>
  <si>
    <t xml:space="preserve">Measurement period (start and end dates)</t>
  </si>
  <si>
    <t xml:space="preserve">Records excluded and reasons, limited to Protocol 8.6 and 21 (meters not commissioned; accounts disconnected all period; days in a declared calamity area or confirmed widespread outage; hours outside supply in off-grid areas)</t>
  </si>
  <si>
    <t xml:space="preserve">Handling of missing data</t>
  </si>
  <si>
    <t xml:space="preserve">Comparison-area method (separating AMI effects from seasonal and other effects)</t>
  </si>
  <si>
    <t xml:space="preserve">How clustering (by area or concentrator) is handled</t>
  </si>
  <si>
    <t xml:space="preserve">Technical-loss estimation method for the loss KPI (Protocol 21.3)</t>
  </si>
  <si>
    <t xml:space="preserve">Pass rule: threshold, non-inferiority margin, one-sided 95% bound, and handling of inconclusive results (Protocol 8.6)</t>
  </si>
  <si>
    <t xml:space="preserve">Census strata, low-volume segments, and any pooled sector evidence (source, n, comparability confirmation)</t>
  </si>
  <si>
    <t xml:space="preserve">Who calculates results</t>
  </si>
  <si>
    <t xml:space="preserve">Who independently verifies results</t>
  </si>
  <si>
    <t xml:space="preserve">Consumer representatives consulted (who, when, what changed as a result)</t>
  </si>
  <si>
    <t xml:space="preserve">How results will be shared with the Board and members</t>
  </si>
  <si>
    <t xml:space="preserve">Plan approved by and date</t>
  </si>
  <si>
    <t xml:space="preserve">Amendment log</t>
  </si>
  <si>
    <t xml:space="preserve">#</t>
  </si>
  <si>
    <t xml:space="preserve">Section or KPI changed</t>
  </si>
  <si>
    <t xml:space="preserve">Change</t>
  </si>
  <si>
    <t xml:space="preserve">Reason</t>
  </si>
  <si>
    <t xml:space="preserve">Made before or after results known?</t>
  </si>
  <si>
    <t xml:space="preserve">Approved by</t>
  </si>
  <si>
    <t xml:space="preserve">Date approved</t>
  </si>
  <si>
    <t xml:space="preserve">Changes made after results were known</t>
  </si>
  <si>
    <t xml:space="preserve">Any change made after results are known must be flagged in the Pilot Evaluation Report and the Gate 4 decision paper.</t>
  </si>
  <si>
    <t xml:space="preserve">W1: Program Risk Register</t>
  </si>
  <si>
    <t xml:space="preserve">All stages · Protocol Sections 5 and 12. Score likelihood and impact 1–5. Starting risks are common AMI risks; the utility must assess, add, and remove risks for its own situation.</t>
  </si>
  <si>
    <t xml:space="preserve">Score</t>
  </si>
  <si>
    <t xml:space="preserve">Likelihood</t>
  </si>
  <si>
    <t xml:space="preserve">Impact</t>
  </si>
  <si>
    <t xml:space="preserve">Rating rule</t>
  </si>
  <si>
    <t xml:space="preserve">1</t>
  </si>
  <si>
    <t xml:space="preserve">Rare</t>
  </si>
  <si>
    <t xml:space="preserve">Negligible</t>
  </si>
  <si>
    <t xml:space="preserve">High: score ≥ 15 · Medium: 8–14 · Low: ≤ 7 (score = likelihood × impact)</t>
  </si>
  <si>
    <t xml:space="preserve">2</t>
  </si>
  <si>
    <t xml:space="preserve">Unlikely</t>
  </si>
  <si>
    <t xml:space="preserve">3</t>
  </si>
  <si>
    <t xml:space="preserve">Possible</t>
  </si>
  <si>
    <t xml:space="preserve">Moderate</t>
  </si>
  <si>
    <t xml:space="preserve">High risks open</t>
  </si>
  <si>
    <t xml:space="preserve">4</t>
  </si>
  <si>
    <t xml:space="preserve">Likely</t>
  </si>
  <si>
    <t xml:space="preserve">Unassessed risks</t>
  </si>
  <si>
    <t xml:space="preserve">5</t>
  </si>
  <si>
    <t xml:space="preserve">Almost certain</t>
  </si>
  <si>
    <t xml:space="preserve">Severe</t>
  </si>
  <si>
    <t xml:space="preserve">Risk (cause → event → consequence)</t>
  </si>
  <si>
    <t xml:space="preserve">Rating</t>
  </si>
  <si>
    <t xml:space="preserve">Mitigation</t>
  </si>
  <si>
    <t xml:space="preserve">Due</t>
  </si>
  <si>
    <t xml:space="preserve">Last reviewed</t>
  </si>
  <si>
    <t xml:space="preserve">RK-01</t>
  </si>
  <si>
    <t xml:space="preserve">Technical</t>
  </si>
  <si>
    <t xml:space="preserve">Communication coverage in terrain, vegetation, or islands is below design, reducing read success</t>
  </si>
  <si>
    <t xml:space="preserve">RK-02</t>
  </si>
  <si>
    <t xml:space="preserve">R</t>
  </si>
  <si>
    <t xml:space="preserve">Typhoon damage or prolonged power loss disables collectors or concentrators</t>
  </si>
  <si>
    <t xml:space="preserve">RK-03</t>
  </si>
  <si>
    <t xml:space="preserve">CIS/billing integration is late or unstable, delaying pilot billing or causing bill errors</t>
  </si>
  <si>
    <t xml:space="preserve">RK-04</t>
  </si>
  <si>
    <t xml:space="preserve">Poor meter-to-transformer mapping prevents energy balancing and undermines loss-reduction benefits</t>
  </si>
  <si>
    <t xml:space="preserve">RK-05</t>
  </si>
  <si>
    <t xml:space="preserve">Commercial</t>
  </si>
  <si>
    <t xml:space="preserve">Vendor delivery delay or foreign-exchange movement raises cost or delays schedule</t>
  </si>
  <si>
    <t xml:space="preserve">RK-06</t>
  </si>
  <si>
    <t xml:space="preserve">Proprietary interfaces or data formats create vendor lock-in</t>
  </si>
  <si>
    <t xml:space="preserve">RK-07</t>
  </si>
  <si>
    <t xml:space="preserve">Misinformation (e.g., “smart meters raise bills”) leads to resistance or complaints</t>
  </si>
  <si>
    <t xml:space="preserve">RK-08</t>
  </si>
  <si>
    <t xml:space="preserve">First AMI bills differ sharply from previously estimated bills, triggering disputes</t>
  </si>
  <si>
    <t xml:space="preserve">RK-09</t>
  </si>
  <si>
    <t xml:space="preserve">Remote disconnection executed on the wrong account or outside permitted rules</t>
  </si>
  <si>
    <t xml:space="preserve">RK-10</t>
  </si>
  <si>
    <t xml:space="preserve">Compromise of HES or privileged accounts enables mass disconnection or data theft</t>
  </si>
  <si>
    <t xml:space="preserve">RK-11</t>
  </si>
  <si>
    <t xml:space="preserve">Personal data breach or unlawful data sharing</t>
  </si>
  <si>
    <t xml:space="preserve">RK-12</t>
  </si>
  <si>
    <t xml:space="preserve">Installer impersonation scams target consumers during rollout</t>
  </si>
  <si>
    <t xml:space="preserve">RK-13</t>
  </si>
  <si>
    <t xml:space="preserve">Organization</t>
  </si>
  <si>
    <t xml:space="preserve">Insufficient skilled staff or turnover of key personnel</t>
  </si>
  <si>
    <t xml:space="preserve">RK-14</t>
  </si>
  <si>
    <t xml:space="preserve">Meter readers’ role change is not managed, causing labor relations issues</t>
  </si>
  <si>
    <t xml:space="preserve">RK-15</t>
  </si>
  <si>
    <t xml:space="preserve">Regulatory</t>
  </si>
  <si>
    <t xml:space="preserve">Regulatory approval is delayed or new ERC guidelines change requirements</t>
  </si>
  <si>
    <t xml:space="preserve">RK-16</t>
  </si>
  <si>
    <t xml:space="preserve">Changes to system loss caps or pass-through treatment alter the business case</t>
  </si>
  <si>
    <t xml:space="preserve">RK-17</t>
  </si>
  <si>
    <t xml:space="preserve">Write-off of undepreciated legacy meters is not recoverable</t>
  </si>
  <si>
    <t xml:space="preserve">RK-18</t>
  </si>
  <si>
    <t xml:space="preserve">E2</t>
  </si>
  <si>
    <t xml:space="preserve">Carrier network shutdown or coverage change affects cellular-connected meters</t>
  </si>
  <si>
    <t xml:space="preserve">RK-19</t>
  </si>
  <si>
    <t xml:space="preserve">Firmware defect disables meters or communication during a campaign</t>
  </si>
  <si>
    <t xml:space="preserve">RK-20</t>
  </si>
  <si>
    <t xml:space="preserve">Installation safety incident</t>
  </si>
  <si>
    <t xml:space="preserve">RK-21</t>
  </si>
  <si>
    <t xml:space="preserve">Operations</t>
  </si>
  <si>
    <t xml:space="preserve">Theft or vandalism of meters, collectors, or batteries</t>
  </si>
  <si>
    <t xml:space="preserve">RK-22</t>
  </si>
  <si>
    <t xml:space="preserve">Benefits</t>
  </si>
  <si>
    <t xml:space="preserve">Loss analytics are produced but not acted on by field enforcement, so benefits are not realized</t>
  </si>
  <si>
    <t xml:space="preserve">RK-23</t>
  </si>
  <si>
    <t xml:space="preserve">Legal</t>
  </si>
  <si>
    <t xml:space="preserve">Theft cases fail because RA 7832 witness and evidence requirements were not met</t>
  </si>
  <si>
    <t xml:space="preserve">RK-24</t>
  </si>
  <si>
    <t xml:space="preserve">Master data errors (multipliers, tariff, transformer ID) cause wrong AMI bills</t>
  </si>
  <si>
    <t xml:space="preserve">RK-25</t>
  </si>
  <si>
    <t xml:space="preserve">Meters lost, stolen, or unaccounted for between warehouse and installation</t>
  </si>
  <si>
    <t xml:space="preserve">RK-26</t>
  </si>
  <si>
    <t xml:space="preserve">Perceived conflict of interest where the advisor also offers solutions</t>
  </si>
  <si>
    <t xml:space="preserve">RK-27</t>
  </si>
  <si>
    <t xml:space="preserve">RK-28</t>
  </si>
  <si>
    <t xml:space="preserve">RK-29</t>
  </si>
  <si>
    <t xml:space="preserve">RK-30</t>
  </si>
  <si>
    <t xml:space="preserve">RK-31</t>
  </si>
  <si>
    <t xml:space="preserve">RK-32</t>
  </si>
  <si>
    <t xml:space="preserve">RK-33</t>
  </si>
  <si>
    <t xml:space="preserve">RK-34</t>
  </si>
  <si>
    <t xml:space="preserve">RK-35</t>
  </si>
  <si>
    <t xml:space="preserve">RK-36</t>
  </si>
  <si>
    <t xml:space="preserve">RK-37</t>
  </si>
  <si>
    <t xml:space="preserve">RK-38</t>
  </si>
  <si>
    <t xml:space="preserve">RK-39</t>
  </si>
  <si>
    <t xml:space="preserve">RK-40</t>
  </si>
  <si>
    <t xml:space="preserve">RK-41</t>
  </si>
  <si>
    <t xml:space="preserve">W1: Gate and Decision Log</t>
  </si>
  <si>
    <t xml:space="preserve">All stages · Protocol Sections 5.1, 5.4 and Annex B. A decision that is not recorded has not been made.</t>
  </si>
  <si>
    <t xml:space="preserve">Gate / decision</t>
  </si>
  <si>
    <t xml:space="preserve">Decision owner</t>
  </si>
  <si>
    <t xml:space="preserve">Outcome</t>
  </si>
  <si>
    <t xml:space="preserve">Conditions (owner, date)</t>
  </si>
  <si>
    <t xml:space="preserve">Must criteria met (x of y)</t>
  </si>
  <si>
    <t xml:space="preserve">Should criteria waived and reasons</t>
  </si>
  <si>
    <t xml:space="preserve">Evidence references</t>
  </si>
  <si>
    <t xml:space="preserve">Recorded by</t>
  </si>
  <si>
    <t xml:space="preserve">Independent reviewer (name, organization)</t>
  </si>
  <si>
    <t xml:space="preserve">Delivery confidence rating</t>
  </si>
  <si>
    <t xml:space="preserve">Critical recommendations addressed? (Y/N)</t>
  </si>
  <si>
    <t xml:space="preserve">Board resolution no. and date (Board decisions)</t>
  </si>
  <si>
    <t xml:space="preserve">Gate 2: Pilot approval</t>
  </si>
  <si>
    <t xml:space="preserve">Gate 3: Technical acceptance</t>
  </si>
  <si>
    <t xml:space="preserve">Gate 4: Investment decision</t>
  </si>
  <si>
    <t xml:space="preserve">Gate 5: Cohort checks (see R Rollout Cohorts)</t>
  </si>
  <si>
    <t xml:space="preserve">Change request after Gate 4 (Board-level)</t>
  </si>
  <si>
    <t xml:space="preserve">Gate 5: Program handover</t>
  </si>
  <si>
    <t xml:space="preserve">Annual review</t>
  </si>
  <si>
    <t xml:space="preserve">Independent review is required before Gates 2 and 4 (Protocol Section 5.4). Use template T9 for the review report.</t>
  </si>
  <si>
    <t xml:space="preserve">Allowed outcomes differ by gate (Protocol Annex B.1). Conditions are allowed only for Should criteria, gap-plan items, or Minor defects, each with an owner and a deadline (Protocol 5.1); at Gate 4, “Scale with conditions” may also set program conditions in the Board resolution.</t>
  </si>
  <si>
    <t xml:space="preserve">W1: Tailoring and Deviation Register</t>
  </si>
  <si>
    <t xml:space="preserve">All stages · Protocol Section 2.5. Record every tailoring decision and deviation, approved before the gate it affects. Items in the minimum mandatory set cannot be tailored.</t>
  </si>
  <si>
    <t xml:space="preserve">Minimum mandatory set: all five gates with written decisions · knockout items and minimum readiness scores · measured baseline · Pilot Evaluation Plan with Must-Pass KPIs fixed before procurement, judged by stratum · register-read reconciliation · consumer safeguards (Section 17) · DPO and PIA · no open Critical, and no High past deadline, security findings at acceptance · independent review at Gates 2 and 4 (three-level rating permitted at Gate 2 on the lean path) · advisor disclosures and independent specification review (Section 13.3).</t>
  </si>
  <si>
    <t xml:space="preserve">Risk and mitigation</t>
  </si>
  <si>
    <t xml:space="preserve">Gate affected</t>
  </si>
  <si>
    <t xml:space="preserve">Affects minimum mandatory set? (Y/N)</t>
  </si>
  <si>
    <t xml:space="preserve">EXAMPLE TD-01</t>
  </si>
  <si>
    <t xml:space="preserve">Tailoring</t>
  </si>
  <si>
    <t xml:space="preserve">8.6</t>
  </si>
  <si>
    <t xml:space="preserve">Pilot precision ±2 points (≈280 meters per stratum)</t>
  </si>
  <si>
    <t xml:space="preserve">Utility size and budget</t>
  </si>
  <si>
    <t xml:space="preserve">Non-inferiority margin fixed at Gate 2; inconclusive results extended</t>
  </si>
  <si>
    <t xml:space="preserve">Steering Committee</t>
  </si>
  <si>
    <t xml:space="preserve">W1: Program Document Register</t>
  </si>
  <si>
    <t xml:space="preserve">All stages · Protocol Section 5.1. A deliverable counts toward a gate only when its designated approver has approved it.</t>
  </si>
  <si>
    <t xml:space="preserve">Doc ID</t>
  </si>
  <si>
    <t xml:space="preserve">Title</t>
  </si>
  <si>
    <t xml:space="preserve">Version</t>
  </si>
  <si>
    <t xml:space="preserve">Designated approver</t>
  </si>
  <si>
    <t xml:space="preserve">Approval date</t>
  </si>
  <si>
    <t xml:space="preserve">Location</t>
  </si>
  <si>
    <t xml:space="preserve">Readiness Assessment Report</t>
  </si>
  <si>
    <t xml:space="preserve">Operational Baseline Report</t>
  </si>
  <si>
    <t xml:space="preserve">Meter and Systems Inventory</t>
  </si>
  <si>
    <t xml:space="preserve">AMI Objectives Statement</t>
  </si>
  <si>
    <t xml:space="preserve">Gap Closure Plan</t>
  </si>
  <si>
    <t xml:space="preserve">Requirements Specification</t>
  </si>
  <si>
    <t xml:space="preserve">Communication Feasibility Report</t>
  </si>
  <si>
    <t xml:space="preserve">Solution Architecture</t>
  </si>
  <si>
    <t xml:space="preserve">Preliminary Business Case</t>
  </si>
  <si>
    <t xml:space="preserve">Procurement Package</t>
  </si>
  <si>
    <t xml:space="preserve">Pilot Consumer Engagement Plan</t>
  </si>
  <si>
    <t xml:space="preserve">FAT and SAT Reports</t>
  </si>
  <si>
    <t xml:space="preserve">Installation Records</t>
  </si>
  <si>
    <t xml:space="preserve">Security Test Report</t>
  </si>
  <si>
    <t xml:space="preserve">Monthly Pilot Performance Reports</t>
  </si>
  <si>
    <t xml:space="preserve">P-5</t>
  </si>
  <si>
    <t xml:space="preserve">Pilot Cost Record</t>
  </si>
  <si>
    <t xml:space="preserve">P-6</t>
  </si>
  <si>
    <t xml:space="preserve">Technical Acceptance Recommendation</t>
  </si>
  <si>
    <t xml:space="preserve">Pilot Evaluation Report</t>
  </si>
  <si>
    <t xml:space="preserve">E</t>
  </si>
  <si>
    <t xml:space="preserve">Final Business Case</t>
  </si>
  <si>
    <t xml:space="preserve">Rollout Strategy</t>
  </si>
  <si>
    <t xml:space="preserve">Regulatory Application Package</t>
  </si>
  <si>
    <t xml:space="preserve">Board Decision Paper</t>
  </si>
  <si>
    <t xml:space="preserve">R-1</t>
  </si>
  <si>
    <t xml:space="preserve">Wave Plans</t>
  </si>
  <si>
    <t xml:space="preserve">R-2</t>
  </si>
  <si>
    <t xml:space="preserve">Wave Completion Reports</t>
  </si>
  <si>
    <t xml:space="preserve">R-3</t>
  </si>
  <si>
    <t xml:space="preserve">Benefits Realization Report</t>
  </si>
  <si>
    <t xml:space="preserve">R-4</t>
  </si>
  <si>
    <t xml:space="preserve">Legacy Meter Disposition Record</t>
  </si>
  <si>
    <t xml:space="preserve">R-5</t>
  </si>
  <si>
    <t xml:space="preserve">Operations Handover Package</t>
  </si>
  <si>
    <t xml:space="preserve">T9</t>
  </si>
  <si>
    <t xml:space="preserve">Independent gate review reports</t>
  </si>
  <si>
    <t xml:space="preserve">W-1</t>
  </si>
  <si>
    <t xml:space="preserve">Workforce Transition Plan</t>
  </si>
  <si>
    <t xml:space="preserve">C-1</t>
  </si>
  <si>
    <t xml:space="preserve">Consumer consultation record</t>
  </si>
  <si>
    <t xml:space="preserve">S-1</t>
  </si>
  <si>
    <t xml:space="preserve">Specification bias review</t>
  </si>
  <si>
    <t xml:space="preserve">T10</t>
  </si>
  <si>
    <t xml:space="preserve">Advisor conflict-of-interest disclosures</t>
  </si>
  <si>
    <t xml:space="preserve">T11</t>
  </si>
  <si>
    <t xml:space="preserve">AMPERE conformance statements</t>
  </si>
  <si>
    <t xml:space="preserve">W1: Change Log After Gate 4</t>
  </si>
  <si>
    <t xml:space="preserve">Stage R · Protocol Section 10.7. The approval level is calculated from the Board thresholds below (Metro Power recommended defaults; the Board may set its own).</t>
  </si>
  <si>
    <t xml:space="preserve">Approved program budget (PHP)</t>
  </si>
  <si>
    <t xml:space="preserve">Board threshold: cost increase (% of budget)</t>
  </si>
  <si>
    <t xml:space="preserve">Board threshold: delay (months)</t>
  </si>
  <si>
    <t xml:space="preserve">Board threshold: change in meter count (±%)</t>
  </si>
  <si>
    <t xml:space="preserve">Change ID</t>
  </si>
  <si>
    <t xml:space="preserve">Cost impact (PHP)</t>
  </si>
  <si>
    <t xml:space="preserve">% of budget</t>
  </si>
  <si>
    <t xml:space="preserve">Delay (months)</t>
  </si>
  <si>
    <t xml:space="preserve">Meter count change (%)</t>
  </si>
  <si>
    <t xml:space="preserve">Technology, vendor, area, or consumer-terms change? (Y/N)</t>
  </si>
  <si>
    <t xml:space="preserve">Approval level</t>
  </si>
  <si>
    <t xml:space="preserve">Decision date</t>
  </si>
  <si>
    <t xml:space="preserve">Cumulative cost impact (% of budget)</t>
  </si>
  <si>
    <t xml:space="preserve">Cumulative meter count change (%)</t>
  </si>
  <si>
    <t xml:space="preserve">CR-01</t>
  </si>
  <si>
    <t xml:space="preserve">CR-02</t>
  </si>
  <si>
    <t xml:space="preserve">CR-03</t>
  </si>
  <si>
    <t xml:space="preserve">CR-04</t>
  </si>
  <si>
    <t xml:space="preserve">CR-05</t>
  </si>
  <si>
    <t xml:space="preserve">CR-06</t>
  </si>
  <si>
    <t xml:space="preserve">CR-07</t>
  </si>
  <si>
    <t xml:space="preserve">CR-08</t>
  </si>
  <si>
    <t xml:space="preserve">CR-09</t>
  </si>
  <si>
    <t xml:space="preserve">CR-10</t>
  </si>
  <si>
    <t xml:space="preserve">CR-11</t>
  </si>
  <si>
    <t xml:space="preserve">CR-12</t>
  </si>
  <si>
    <t xml:space="preserve">CR-13</t>
  </si>
  <si>
    <t xml:space="preserve">CR-14</t>
  </si>
  <si>
    <t xml:space="preserve">CR-15</t>
  </si>
  <si>
    <t xml:space="preserve">CR-16</t>
  </si>
  <si>
    <t xml:space="preserve">CR-17</t>
  </si>
  <si>
    <t xml:space="preserve">CR-18</t>
  </si>
  <si>
    <t xml:space="preserve">CR-19</t>
  </si>
  <si>
    <t xml:space="preserve">CR-20</t>
  </si>
  <si>
    <t xml:space="preserve">CR-21</t>
  </si>
  <si>
    <t xml:space="preserve">CR-22</t>
  </si>
  <si>
    <t xml:space="preserve">CR-23</t>
  </si>
  <si>
    <t xml:space="preserve">CR-24</t>
  </si>
  <si>
    <t xml:space="preserve">CR-25</t>
  </si>
  <si>
    <t xml:space="preserve">W1/W3: Stakeholder Communication Plan</t>
  </si>
  <si>
    <t xml:space="preserve">All stages · Protocol Sections 12, 14.1 and 17. Includes barangay and LGU coordination before field work.</t>
  </si>
  <si>
    <t xml:space="preserve">Stakeholder</t>
  </si>
  <si>
    <t xml:space="preserve">Main interest or concern</t>
  </si>
  <si>
    <t xml:space="preserve">What they need to know</t>
  </si>
  <si>
    <t xml:space="preserve">Method</t>
  </si>
  <si>
    <t xml:space="preserve">Frequency / timing</t>
  </si>
  <si>
    <t xml:space="preserve">Next date</t>
  </si>
  <si>
    <t xml:space="preserve">Board of Directors</t>
  </si>
  <si>
    <t xml:space="preserve">Investment value, risk, member impact</t>
  </si>
  <si>
    <t xml:space="preserve">Gate papers; progress; benefits</t>
  </si>
  <si>
    <t xml:space="preserve">General Manager and management team</t>
  </si>
  <si>
    <t xml:space="preserve">Delivery, cost, operations</t>
  </si>
  <si>
    <t xml:space="preserve">Program status; decisions needed</t>
  </si>
  <si>
    <t xml:space="preserve">Employees, including meter readers</t>
  </si>
  <si>
    <t xml:space="preserve">Job changes; training</t>
  </si>
  <si>
    <t xml:space="preserve">Role changes; redeployment; training plan</t>
  </si>
  <si>
    <t xml:space="preserve">Employee representatives</t>
  </si>
  <si>
    <t xml:space="preserve">Labor impact</t>
  </si>
  <si>
    <t xml:space="preserve">Consultation on role changes</t>
  </si>
  <si>
    <t xml:space="preserve">Consumers in pilot and wave areas</t>
  </si>
  <si>
    <t xml:space="preserve">Bills, privacy, safety, installation</t>
  </si>
  <si>
    <t xml:space="preserve">Why, when, what changes, whom to contact</t>
  </si>
  <si>
    <t xml:space="preserve">Member-consumer-owner associations</t>
  </si>
  <si>
    <t xml:space="preserve">Fairness, cost, rates</t>
  </si>
  <si>
    <t xml:space="preserve">Benefits, rate impact, safeguards</t>
  </si>
  <si>
    <t xml:space="preserve">Barangay officials</t>
  </si>
  <si>
    <t xml:space="preserve">Community order, access</t>
  </si>
  <si>
    <t xml:space="preserve">Schedule, installer identification, contacts</t>
  </si>
  <si>
    <t xml:space="preserve">Local government units</t>
  </si>
  <si>
    <t xml:space="preserve">Permits, public information</t>
  </si>
  <si>
    <t xml:space="preserve">Schedule; permits; public advisories</t>
  </si>
  <si>
    <t xml:space="preserve">ERC</t>
  </si>
  <si>
    <t xml:space="preserve">Compliance; approval evidence</t>
  </si>
  <si>
    <t xml:space="preserve">Approach; pilot evidence; applications; reports</t>
  </si>
  <si>
    <t xml:space="preserve">NEA (electric cooperatives)</t>
  </si>
  <si>
    <t xml:space="preserve">EC technical and financial soundness</t>
  </si>
  <si>
    <t xml:space="preserve">Plans; financing; results</t>
  </si>
  <si>
    <t xml:space="preserve">DOE</t>
  </si>
  <si>
    <t xml:space="preserve">Policy alignment; cybersecurity framework</t>
  </si>
  <si>
    <t xml:space="preserve">Program status; cybersecurity reporting if applicable</t>
  </si>
  <si>
    <t xml:space="preserve">NPC (as required)</t>
  </si>
  <si>
    <t xml:space="preserve">Personal data protection</t>
  </si>
  <si>
    <t xml:space="preserve">Breach notification; PIA on request</t>
  </si>
  <si>
    <t xml:space="preserve">Large commercial and industrial customers</t>
  </si>
  <si>
    <t xml:space="preserve">Accuracy, data, supply choice</t>
  </si>
  <si>
    <t xml:space="preserve">Meter change schedule; data access</t>
  </si>
  <si>
    <t xml:space="preserve">Net-metering customers</t>
  </si>
  <si>
    <t xml:space="preserve">Export measurement, credits</t>
  </si>
  <si>
    <t xml:space="preserve">Bidirectional meter changes</t>
  </si>
  <si>
    <t xml:space="preserve">Vendors and integrators</t>
  </si>
  <si>
    <t xml:space="preserve">Scope, acceptance</t>
  </si>
  <si>
    <t xml:space="preserve">Requirements; test results; defects</t>
  </si>
  <si>
    <t xml:space="preserve">Local media and radio</t>
  </si>
  <si>
    <t xml:space="preserve">Public information</t>
  </si>
  <si>
    <t xml:space="preserve">Accurate program information</t>
  </si>
  <si>
    <t xml:space="preserve">W2: Cybersecurity and Privacy Controls (NIST CSF 2.0)</t>
  </si>
  <si>
    <t xml:space="preserve">Not achieved</t>
  </si>
  <si>
    <t xml:space="preserve">All stages · Protocol Sections 16.1–16.4 and Annex E.6. Record each control’s current and target state (CSF Profile) and one current and target Tier for the AMI program. All controls must be in place for the pilot environment at Gate 3. Under a sector framework, report verified control outcomes; the Tier is for information.</t>
  </si>
  <si>
    <t xml:space="preserve">Partially</t>
  </si>
  <si>
    <t xml:space="preserve">Largely</t>
  </si>
  <si>
    <t xml:space="preserve">Fully</t>
  </si>
  <si>
    <t xml:space="preserve">AMI program CSF Tier, current (1 Partial, 2 Risk Informed, 3 Repeatable, 4 Adaptive)</t>
  </si>
  <si>
    <t xml:space="preserve">Not applicable</t>
  </si>
  <si>
    <t xml:space="preserve">AMI program CSF Tier, target</t>
  </si>
  <si>
    <t xml:space="preserve">Control</t>
  </si>
  <si>
    <t xml:space="preserve">Protocol ref.</t>
  </si>
  <si>
    <t xml:space="preserve">CSF 2.0 function</t>
  </si>
  <si>
    <t xml:space="preserve">Current state</t>
  </si>
  <si>
    <t xml:space="preserve">Target state</t>
  </si>
  <si>
    <t xml:space="preserve">Evidence (independently verified?)</t>
  </si>
  <si>
    <t xml:space="preserve">Cybersecurity lead named; AMI covered by security policy</t>
  </si>
  <si>
    <t xml:space="preserve">16.1</t>
  </si>
  <si>
    <t xml:space="preserve">Govern</t>
  </si>
  <si>
    <t xml:space="preserve">Cybersecurity risk management strategy and risk appetite for AMI approved</t>
  </si>
  <si>
    <t xml:space="preserve">16.4</t>
  </si>
  <si>
    <t xml:space="preserve">Risk assessment completed and updated at each gate</t>
  </si>
  <si>
    <t xml:space="preserve">Identify</t>
  </si>
  <si>
    <t xml:space="preserve">Asset inventory of meters, modules, concentrators, network equipment, servers, and software versions; reconciled each cohort</t>
  </si>
  <si>
    <t xml:space="preserve">Network segmentation between AMI, IT, and OT; no direct internet exposure of HES/MDMS</t>
  </si>
  <si>
    <t xml:space="preserve">Protect</t>
  </si>
  <si>
    <t xml:space="preserve">Cellular meters on a private APN or VPN; no public addressing</t>
  </si>
  <si>
    <t xml:space="preserve">Multi-factor authentication for all privileged and remote access</t>
  </si>
  <si>
    <t xml:space="preserve">Role-based access; quarterly reviews; segregation of duties for disconnect and VEE edits</t>
  </si>
  <si>
    <t xml:space="preserve">Unique per-device credentials verified in testing</t>
  </si>
  <si>
    <t xml:space="preserve">Signed firmware and secure boot verified in testing</t>
  </si>
  <si>
    <t xml:space="preserve">Encryption in transit and at rest verified</t>
  </si>
  <si>
    <t xml:space="preserve">Keys generated and held under utility control in a dedicated HSM or utility-controlled partition</t>
  </si>
  <si>
    <t xml:space="preserve">Manufacturing keys transferred only in wrapped form and replaced with utility keys after commissioning; no supplier holds usable keys</t>
  </si>
  <si>
    <t xml:space="preserve">Rate limits, time-window blocking (configurable windows), and alerts on remote disconnect and firmware commands; platform-wide cap if shared</t>
  </si>
  <si>
    <t xml:space="preserve">16.1 / 17.2</t>
  </si>
  <si>
    <t xml:space="preserve">Security awareness training for all AMI staff and contractors; role-based training for privileged users</t>
  </si>
  <si>
    <t xml:space="preserve">Physical tamper events logged and monitored</t>
  </si>
  <si>
    <t xml:space="preserve">Detect</t>
  </si>
  <si>
    <t xml:space="preserve">Centralized security logging and alerting operational</t>
  </si>
  <si>
    <t xml:space="preserve">Independent vulnerability assessment and penetration test; findings remediated within deadlines (P6)</t>
  </si>
  <si>
    <t xml:space="preserve">Incident response plan tested, including NPC, DOE, and DICT/CERT-PH notification where applicable</t>
  </si>
  <si>
    <t xml:space="preserve">16.1 / 16.3</t>
  </si>
  <si>
    <t xml:space="preserve">Respond</t>
  </si>
  <si>
    <t xml:space="preserve">Backup and restore of HES and MDMS tested; recovery time known</t>
  </si>
  <si>
    <t xml:space="preserve">16.1 / 16.5</t>
  </si>
  <si>
    <t xml:space="preserve">Recover</t>
  </si>
  <si>
    <t xml:space="preserve">Disaster recovery objectives set and failover tested</t>
  </si>
  <si>
    <t xml:space="preserve">16.5</t>
  </si>
  <si>
    <t xml:space="preserve">Vendor and cloud contracts include security requirements, audit rights, and incident notification</t>
  </si>
  <si>
    <t xml:space="preserve">Supply chain: SBOM, vulnerability disclosure, protected signing keys, vendor access via utility jump host, hosting disclosed</t>
  </si>
  <si>
    <t xml:space="preserve">Annex E.6</t>
  </si>
  <si>
    <t xml:space="preserve">Tenant isolation tested independently in the last 12 months (shared platforms only)</t>
  </si>
  <si>
    <t xml:space="preserve">27.1</t>
  </si>
  <si>
    <t xml:space="preserve">Coverage under DOE DC2025-01-0001 and DICT issuances confirmed; reporting calendar set if applicable</t>
  </si>
  <si>
    <t xml:space="preserve">16.3</t>
  </si>
  <si>
    <t xml:space="preserve">DPO designated and involved</t>
  </si>
  <si>
    <t xml:space="preserve">16.2</t>
  </si>
  <si>
    <t xml:space="preserve">Privacy Impact Assessment completed and reviewed</t>
  </si>
  <si>
    <t xml:space="preserve">Privacy notice published for AMI data</t>
  </si>
  <si>
    <t xml:space="preserve">Processing agreements with every vendor, host, and shared-platform operator</t>
  </si>
  <si>
    <t xml:space="preserve">NPC registration (where required) and cross-border transfer safeguards confirmed</t>
  </si>
  <si>
    <t xml:space="preserve">Retention periods defined per data category; billing-related data kept ≥ 5 years</t>
  </si>
  <si>
    <t xml:space="preserve">Data-sharing agreements for any third-party access</t>
  </si>
  <si>
    <t xml:space="preserve">Breach procedure can notify NPC and affected individuals within 72 hours</t>
  </si>
  <si>
    <t xml:space="preserve">Controls below target</t>
  </si>
  <si>
    <t xml:space="preserve">Controls not yet assessed</t>
  </si>
  <si>
    <t xml:space="preserve">W3: AMI Complaint Log and Escalation</t>
  </si>
  <si>
    <t xml:space="preserve">Stages P, R, E2 · Protocol Section 17.5. Default targets: ≥ 95% acknowledged within 24 hours; standard ≤ 5 and complex ≤ 15 working days; meter tests ≤ 10 working days. Regulatory standards prevail.</t>
  </si>
  <si>
    <t xml:space="preserve">Service-level parameter</t>
  </si>
  <si>
    <t xml:space="preserve">Escalation trigger</t>
  </si>
  <si>
    <t xml:space="preserve">Escalate to</t>
  </si>
  <si>
    <t xml:space="preserve">Summary for reporting (K2)</t>
  </si>
  <si>
    <t xml:space="preserve">Public holidays (enter dates)</t>
  </si>
  <si>
    <t xml:space="preserve">Acknowledge within (calendar days)</t>
  </si>
  <si>
    <t xml:space="preserve">Billing dispute above the utility-set amount threshold</t>
  </si>
  <si>
    <t xml:space="preserve">Billing review committee</t>
  </si>
  <si>
    <t xml:space="preserve">AMI accounts at period end</t>
  </si>
  <si>
    <t xml:space="preserve">Standard complaint resolution (working days)</t>
  </si>
  <si>
    <t xml:space="preserve">Same account complains again within 60 days</t>
  </si>
  <si>
    <t xml:space="preserve">Management review</t>
  </si>
  <si>
    <t xml:space="preserve">Complaints logged</t>
  </si>
  <si>
    <t xml:space="preserve">Complex complaint resolution (working days)</t>
  </si>
  <si>
    <t xml:space="preserve">Possible security or privacy incident</t>
  </si>
  <si>
    <t xml:space="preserve">Cybersecurity lead and DPO, immediately</t>
  </si>
  <si>
    <t xml:space="preserve">Complaints per 1,000 AMI accounts</t>
  </si>
  <si>
    <t xml:space="preserve">Status update to consumer for open cases (working days)</t>
  </si>
  <si>
    <t xml:space="preserve">Several similar complaints on one transformer, firmware version, or area within a week</t>
  </si>
  <si>
    <t xml:space="preserve">TWG, systematic defect review</t>
  </si>
  <si>
    <t xml:space="preserve">Acknowledged within target</t>
  </si>
  <si>
    <t xml:space="preserve">Meter test turnaround from request (working days)</t>
  </si>
  <si>
    <t xml:space="preserve">Vulnerable or medically dependent consumer affected by disconnection</t>
  </si>
  <si>
    <t xml:space="preserve">Consumer services supervisor, immediately</t>
  </si>
  <si>
    <t xml:space="preserve">Average working days to resolve</t>
  </si>
  <si>
    <t xml:space="preserve">Resolved cases</t>
  </si>
  <si>
    <t xml:space="preserve">Complaint filed with a regulator or involving legal action</t>
  </si>
  <si>
    <t xml:space="preserve">Regulatory and legal</t>
  </si>
  <si>
    <t xml:space="preserve">Average meter-test turnaround (working days)</t>
  </si>
  <si>
    <t xml:space="preserve">Resolved within target</t>
  </si>
  <si>
    <t xml:space="preserve">Disconnection-safeguard breaches</t>
  </si>
  <si>
    <t xml:space="preserve">Privacy: this log contains personal data. Limit access to consumer services staff; use account numbers, not names, in reports.</t>
  </si>
  <si>
    <t xml:space="preserve">Ticket</t>
  </si>
  <si>
    <t xml:space="preserve">Date received</t>
  </si>
  <si>
    <t xml:space="preserve">Channel</t>
  </si>
  <si>
    <t xml:space="preserve">Account no.</t>
  </si>
  <si>
    <t xml:space="preserve">Transformer / firmware / area</t>
  </si>
  <si>
    <t xml:space="preserve">Complex? (Y/N)</t>
  </si>
  <si>
    <t xml:space="preserve">Date acknowledged</t>
  </si>
  <si>
    <t xml:space="preserve">Date resolved</t>
  </si>
  <si>
    <t xml:space="preserve">Working days to resolve</t>
  </si>
  <si>
    <t xml:space="preserve">Target (days)</t>
  </si>
  <si>
    <t xml:space="preserve">Within target?</t>
  </si>
  <si>
    <t xml:space="preserve">Escalated to</t>
  </si>
  <si>
    <t xml:space="preserve">Resolution</t>
  </si>
  <si>
    <t xml:space="preserve">Meter test requested (Y/N)</t>
  </si>
  <si>
    <t xml:space="preserve">Test request date</t>
  </si>
  <si>
    <t xml:space="preserve">Test result reported date</t>
  </si>
  <si>
    <t xml:space="preserve">Test working days</t>
  </si>
  <si>
    <t xml:space="preserve">Test within target?</t>
  </si>
  <si>
    <t xml:space="preserve">Disconnection-safeguard breach? (Y/N, Protocol 21.5)</t>
  </si>
  <si>
    <t xml:space="preserve">EXAMPLE C-0001</t>
  </si>
  <si>
    <t xml:space="preserve">Hotline</t>
  </si>
  <si>
    <t xml:space="preserve">[account]</t>
  </si>
  <si>
    <t xml:space="preserve">High bill</t>
  </si>
  <si>
    <t xml:space="preserve">Consumer reports bill higher than usual after meter change</t>
  </si>
  <si>
    <t xml:space="preserve">TX-[id] / FW [ver]</t>
  </si>
  <si>
    <t xml:space="preserve">First actual read after estimated bills</t>
  </si>
  <si>
    <t xml:space="preserve">Explained with usage data; no error found</t>
  </si>
  <si>
    <t xml:space="preserve">W3: Consumer Education and Engagement Plan</t>
  </si>
  <si>
    <t xml:space="preserve">Stages M, P, R · Protocol Section 17. Use the local language and channels consumers actually use.</t>
  </si>
  <si>
    <t xml:space="preserve">Material or activity</t>
  </si>
  <si>
    <t xml:space="preserve">Audience</t>
  </si>
  <si>
    <t xml:space="preserve">Language(s)</t>
  </si>
  <si>
    <t xml:space="preserve">Timing</t>
  </si>
  <si>
    <t xml:space="preserve">Pre-installation notice letter</t>
  </si>
  <si>
    <t xml:space="preserve">Explain why, when, what to expect, whom to contact</t>
  </si>
  <si>
    <t xml:space="preserve">Consumers in installation area</t>
  </si>
  <si>
    <t xml:space="preserve">Printed, hand-delivered</t>
  </si>
  <si>
    <t xml:space="preserve">Before installation</t>
  </si>
  <si>
    <t xml:space="preserve">Installer identification guide</t>
  </si>
  <si>
    <t xml:space="preserve">Help consumers verify genuine installers and avoid scams</t>
  </si>
  <si>
    <t xml:space="preserve">Printed; SMS; social media</t>
  </si>
  <si>
    <t xml:space="preserve">Barangay assembly briefing</t>
  </si>
  <si>
    <t xml:space="preserve">Answer questions face to face</t>
  </si>
  <si>
    <t xml:space="preserve">Community</t>
  </si>
  <si>
    <t xml:space="preserve">Barangay assembly</t>
  </si>
  <si>
    <t xml:space="preserve">Frequently asked questions</t>
  </si>
  <si>
    <t xml:space="preserve">Address common concerns (bills, safety, privacy)</t>
  </si>
  <si>
    <t xml:space="preserve">General public</t>
  </si>
  <si>
    <t xml:space="preserve">Website; printed; social media</t>
  </si>
  <si>
    <t xml:space="preserve">Before and during</t>
  </si>
  <si>
    <t xml:space="preserve">Frontliner script and training</t>
  </si>
  <si>
    <t xml:space="preserve">Consistent answers from hotline and counter staff</t>
  </si>
  <si>
    <t xml:space="preserve">Consumer services staff</t>
  </si>
  <si>
    <t xml:space="preserve">Training session</t>
  </si>
  <si>
    <t xml:space="preserve">SMS advisories</t>
  </si>
  <si>
    <t xml:space="preserve">Installation schedule and service interruption notice</t>
  </si>
  <si>
    <t xml:space="preserve">Affected consumers</t>
  </si>
  <si>
    <t xml:space="preserve">SMS</t>
  </si>
  <si>
    <t xml:space="preserve">Day before</t>
  </si>
  <si>
    <t xml:space="preserve">First AMI bill explanation insert</t>
  </si>
  <si>
    <t xml:space="preserve">Explain differences from previously estimated bills</t>
  </si>
  <si>
    <t xml:space="preserve">Consumers receiving first AMI bill</t>
  </si>
  <si>
    <t xml:space="preserve">Bill insert</t>
  </si>
  <si>
    <t xml:space="preserve">First AMI bill</t>
  </si>
  <si>
    <t xml:space="preserve">Privacy notice for meter data</t>
  </si>
  <si>
    <t xml:space="preserve">Explain data collected, purpose, retention, rights</t>
  </si>
  <si>
    <t xml:space="preserve">All AMI consumers</t>
  </si>
  <si>
    <t xml:space="preserve">Printed; website</t>
  </si>
  <si>
    <t xml:space="preserve">Usage data (CMDC) guide</t>
  </si>
  <si>
    <t xml:space="preserve">How to access own usage data</t>
  </si>
  <si>
    <t xml:space="preserve">Printed; video; SMS</t>
  </si>
  <si>
    <t xml:space="preserve">After installation</t>
  </si>
  <si>
    <t xml:space="preserve">Prepaid service guide</t>
  </si>
  <si>
    <t xml:space="preserve">Top-up, warnings, arrears treatment</t>
  </si>
  <si>
    <t xml:space="preserve">Prepaid consumers</t>
  </si>
  <si>
    <t xml:space="preserve">Printed; counter</t>
  </si>
  <si>
    <t xml:space="preserve">At enrollment</t>
  </si>
  <si>
    <t xml:space="preserve">Vulnerable consumer outreach</t>
  </si>
  <si>
    <t xml:space="preserve">Identify and support seniors, PWDs, medically dependent households</t>
  </si>
  <si>
    <t xml:space="preserve">Vulnerable consumers</t>
  </si>
  <si>
    <t xml:space="preserve">Home visit; barangay referral</t>
  </si>
  <si>
    <t xml:space="preserve">Local radio segment</t>
  </si>
  <si>
    <t xml:space="preserve">Wide public information</t>
  </si>
  <si>
    <t xml:space="preserve">Radio</t>
  </si>
  <si>
    <t xml:space="preserve">Short explainer video</t>
  </si>
  <si>
    <t xml:space="preserve">Show installation and benefits</t>
  </si>
  <si>
    <t xml:space="preserve">Social media</t>
  </si>
  <si>
    <t xml:space="preserve">K: Reporting Cadence</t>
  </si>
  <si>
    <t xml:space="preserve">Stages P, R, E2 · Protocol Sections 11.3, 16.3 and 21. Adjust frequencies to the utility's size; do not drop regulatory reports.</t>
  </si>
  <si>
    <t xml:space="preserve">Report</t>
  </si>
  <si>
    <t xml:space="preserve">Content</t>
  </si>
  <si>
    <t xml:space="preserve">Frequency</t>
  </si>
  <si>
    <t xml:space="preserve">Prepared by</t>
  </si>
  <si>
    <t xml:space="preserve">Reviewed / approved by</t>
  </si>
  <si>
    <t xml:space="preserve">Operations dashboard</t>
  </si>
  <si>
    <t xml:space="preserve">Read success, exception queues, failed commands, network alarms</t>
  </si>
  <si>
    <t xml:space="preserve">Daily</t>
  </si>
  <si>
    <t xml:space="preserve">Operations team</t>
  </si>
  <si>
    <t xml:space="preserve">AMI operations lead</t>
  </si>
  <si>
    <t xml:space="preserve">Each working day</t>
  </si>
  <si>
    <t xml:space="preserve">Pilot status</t>
  </si>
  <si>
    <t xml:space="preserve">Progress, KPIs vs thresholds, issues, complaints</t>
  </si>
  <si>
    <t xml:space="preserve">Weekly (pilot)</t>
  </si>
  <si>
    <t xml:space="preserve">Program team; TWG</t>
  </si>
  <si>
    <t xml:space="preserve">TWG lead</t>
  </si>
  <si>
    <t xml:space="preserve">Technical performance</t>
  </si>
  <si>
    <t xml:space="preserve">Communications, HES/MDMS availability, firmware, defects</t>
  </si>
  <si>
    <t xml:space="preserve">Monthly</t>
  </si>
  <si>
    <t xml:space="preserve">Engineering and IT</t>
  </si>
  <si>
    <t xml:space="preserve">TWG</t>
  </si>
  <si>
    <t xml:space="preserve">Billing and VEE</t>
  </si>
  <si>
    <t xml:space="preserve">Estimated-bill rate, edits, exceptions, reconciliation results</t>
  </si>
  <si>
    <t xml:space="preserve">Billing; Internal Audit</t>
  </si>
  <si>
    <t xml:space="preserve">Billing lead</t>
  </si>
  <si>
    <t xml:space="preserve">Consumer and complaints</t>
  </si>
  <si>
    <t xml:space="preserve">Volumes, categories, SLA performance, clusters</t>
  </si>
  <si>
    <t xml:space="preserve">Consumer services; management</t>
  </si>
  <si>
    <t xml:space="preserve">Consumer services lead</t>
  </si>
  <si>
    <t xml:space="preserve">Incidents, findings, access reviews, privacy requests</t>
  </si>
  <si>
    <t xml:space="preserve">IT; DPO; management</t>
  </si>
  <si>
    <t xml:space="preserve">Cybersecurity lead</t>
  </si>
  <si>
    <t xml:space="preserve">GM</t>
  </si>
  <si>
    <t xml:space="preserve">Benefits and financial</t>
  </si>
  <si>
    <t xml:space="preserve">Benefits realized vs business case; costs vs budget</t>
  </si>
  <si>
    <t xml:space="preserve">Quarterly</t>
  </si>
  <si>
    <t xml:space="preserve">Management; Board</t>
  </si>
  <si>
    <t xml:space="preserve">Steering Committee pack</t>
  </si>
  <si>
    <t xml:space="preserve">All of the above plus risks and decisions required</t>
  </si>
  <si>
    <t xml:space="preserve">Quarterly (monthly during pilot)</t>
  </si>
  <si>
    <t xml:space="preserve">Steering Committee chair</t>
  </si>
  <si>
    <t xml:space="preserve">Board annual review</t>
  </si>
  <si>
    <t xml:space="preserve">Protocol Section 11.3 contents</t>
  </si>
  <si>
    <t xml:space="preserve">Annual</t>
  </si>
  <si>
    <t xml:space="preserve">Board</t>
  </si>
  <si>
    <t xml:space="preserve">Regulatory reports (ERC, NEA)</t>
  </si>
  <si>
    <t xml:space="preserve">As required by applicable rules and approvals</t>
  </si>
  <si>
    <t xml:space="preserve">As required</t>
  </si>
  <si>
    <t xml:space="preserve">ERC; NEA</t>
  </si>
  <si>
    <t xml:space="preserve">Per regulatory calendar</t>
  </si>
  <si>
    <t xml:space="preserve">DOE cybersecurity submissions (if covered)</t>
  </si>
  <si>
    <t xml:space="preserve">Cybersecurity Assessment Framework results and Cyber Resilience Scorecard; quarterly cyber issue reports</t>
  </si>
  <si>
    <t xml:space="preserve">Annual (due April 30) and quarterly</t>
  </si>
  <si>
    <t xml:space="preserve">Confirm current requirements</t>
  </si>
  <si>
    <t xml:space="preserve">Independent gate review report</t>
  </si>
  <si>
    <t xml:space="preserve">Delivery confidence rating, findings, and recommendations (template T9)</t>
  </si>
  <si>
    <t xml:space="preserve">Before Gates 2 and 4; optional at other gates</t>
  </si>
  <si>
    <t xml:space="preserve">Decision owner; Steering Committee</t>
  </si>
  <si>
    <t xml:space="preserve">Independent reviewer</t>
  </si>
  <si>
    <t xml:space="preserve">Before the gate meeting</t>
  </si>
  <si>
    <t xml:space="preserve">Prepaid self-disconnection</t>
  </si>
  <si>
    <t xml:space="preserve">Share of prepaid consumers losing supply when credit runs out; duration; low-income breakdown</t>
  </si>
  <si>
    <t xml:space="preserve">Every Steering Committee meeting</t>
  </si>
  <si>
    <t xml:space="preserve">Consumer meter test results</t>
  </si>
  <si>
    <t xml:space="preserve">Turnaround against target; results by outcome</t>
  </si>
  <si>
    <t xml:space="preserve">Metering lead</t>
  </si>
  <si>
    <t xml:space="preserve">Personal data breach notification</t>
  </si>
  <si>
    <t xml:space="preserve">Notification to NPC and affected individuals</t>
  </si>
  <si>
    <t xml:space="preserve">Event-driven</t>
  </si>
  <si>
    <t xml:space="preserve">NPC; affected consumers</t>
  </si>
  <si>
    <t xml:space="preserve">DPO</t>
  </si>
  <si>
    <t xml:space="preserve">Within 72 hours of knowledge</t>
  </si>
  <si>
    <t xml:space="preserve">K2: Sector Submission (Annex H dataset)</t>
  </si>
  <si>
    <t xml:space="preserve">Used when the utility’s program is under a sector framework (Protocol Part III). Submit quarterly from Gate 2 until handover, then annually. Aggregated figures only; no personal data. The General Manager or delegate certifies each submission.</t>
  </si>
  <si>
    <t xml:space="preserve">Data item</t>
  </si>
  <si>
    <t xml:space="preserve">Source in this Toolkit</t>
  </si>
  <si>
    <t xml:space="preserve">Period 1</t>
  </si>
  <si>
    <t xml:space="preserve">Period 2</t>
  </si>
  <si>
    <t xml:space="preserve">Period 3</t>
  </si>
  <si>
    <t xml:space="preserve">Period 4</t>
  </si>
  <si>
    <t xml:space="preserve">Period 5</t>
  </si>
  <si>
    <t xml:space="preserve">Period 6</t>
  </si>
  <si>
    <t xml:space="preserve">Period 7</t>
  </si>
  <si>
    <t xml:space="preserve">Period 8</t>
  </si>
  <si>
    <t xml:space="preserve">Period (e.g., 2026-Q4)</t>
  </si>
  <si>
    <t xml:space="preserve">Peer group</t>
  </si>
  <si>
    <t xml:space="preserve">Assigned by Adopting Body</t>
  </si>
  <si>
    <t xml:space="preserve">AMPERE version followed</t>
  </si>
  <si>
    <t xml:space="preserve">T11 conformance statement</t>
  </si>
  <si>
    <t xml:space="preserve">Current stage</t>
  </si>
  <si>
    <t xml:space="preserve">Connections served</t>
  </si>
  <si>
    <t xml:space="preserve">Last gate and outcome</t>
  </si>
  <si>
    <t xml:space="preserve">Last gate decision date</t>
  </si>
  <si>
    <t xml:space="preserve">Next gate and planned date</t>
  </si>
  <si>
    <t xml:space="preserve">W1 Gate Log / P4</t>
  </si>
  <si>
    <t xml:space="preserve">Lowest readiness category score (latest)</t>
  </si>
  <si>
    <t xml:space="preserve">Baseline system loss rate</t>
  </si>
  <si>
    <t xml:space="preserve">Baseline estimated-bill rate</t>
  </si>
  <si>
    <t xml:space="preserve">Baseline billing accuracy</t>
  </si>
  <si>
    <t xml:space="preserve">Baseline billing-read availability</t>
  </si>
  <si>
    <t xml:space="preserve">Baseline complaints per 1,000 accounts</t>
  </si>
  <si>
    <t xml:space="preserve">AMI meters installed (cumulative)</t>
  </si>
  <si>
    <t xml:space="preserve">AMI meters commissioned (cumulative)</t>
  </si>
  <si>
    <t xml:space="preserve">Planned meters to date (approved plan)</t>
  </si>
  <si>
    <t xml:space="preserve">Daily read success rate</t>
  </si>
  <si>
    <t xml:space="preserve">P1 / operations</t>
  </si>
  <si>
    <t xml:space="preserve">Remote command success</t>
  </si>
  <si>
    <t xml:space="preserve">Billing accuracy (bills ≥90 days old)</t>
  </si>
  <si>
    <t xml:space="preserve">P1 / billing</t>
  </si>
  <si>
    <t xml:space="preserve">W3 Complaint Log summary</t>
  </si>
  <si>
    <t xml:space="preserve">Average resolution time (working days)</t>
  </si>
  <si>
    <t xml:space="preserve">Meter-test turnaround (working days)</t>
  </si>
  <si>
    <t xml:space="preserve">W3 Complaint Log summary and HES disconnection review</t>
  </si>
  <si>
    <t xml:space="preserve">Prepaid self-disconnection rate</t>
  </si>
  <si>
    <t xml:space="preserve">Unresolved security findings</t>
  </si>
  <si>
    <t xml:space="preserve">P6 (gate checks)</t>
  </si>
  <si>
    <t xml:space="preserve">Security incidents in period</t>
  </si>
  <si>
    <t xml:space="preserve">Personal data breaches notified</t>
  </si>
  <si>
    <t xml:space="preserve">Outage event capture</t>
  </si>
  <si>
    <t xml:space="preserve">Operations / OMS</t>
  </si>
  <si>
    <t xml:space="preserve">Post-calamity recovery (if a calamity occurred)</t>
  </si>
  <si>
    <t xml:space="preserve">Capital cost to date (PHP)</t>
  </si>
  <si>
    <t xml:space="preserve">P3 / finance</t>
  </si>
  <si>
    <t xml:space="preserve">Approved capital budget (PHP)</t>
  </si>
  <si>
    <t xml:space="preserve">Operating cost to date (PHP)</t>
  </si>
  <si>
    <t xml:space="preserve">Approved operating budget to date (PHP)</t>
  </si>
  <si>
    <t xml:space="preserve">Benefits realized to date (PHP)</t>
  </si>
  <si>
    <t xml:space="preserve">Benefits in approved business case to date (PHP)</t>
  </si>
  <si>
    <t xml:space="preserve">Cohorts in pause or on watch</t>
  </si>
  <si>
    <t xml:space="preserve">Open gate conditions</t>
  </si>
  <si>
    <t xml:space="preserve">Approved tailoring decisions (count)</t>
  </si>
  <si>
    <t xml:space="preserve">Open deviations (count)</t>
  </si>
  <si>
    <t xml:space="preserve">Latest independent review rating</t>
  </si>
  <si>
    <t xml:space="preserve">Certified by (name, title, date)</t>
  </si>
  <si>
    <t xml:space="preserve">R: Rollout Cohort Checks and Pause Triggers</t>
  </si>
  <si>
    <t xml:space="preserve">Stage R · Protocol Sections 10.6, 10.9 and Gate 5. Each cohort is checked at its first full billing cycle. Installation continues while checks pass; any PAUSE stops new installations until the Steering Committee decides.</t>
  </si>
  <si>
    <t xml:space="preserve">Maximum audit defect rate (Critical/Major ÷ audited)</t>
  </si>
  <si>
    <t xml:space="preserve">Maximum complaints ratio vs pre-installation baseline</t>
  </si>
  <si>
    <t xml:space="preserve">Cohort</t>
  </si>
  <si>
    <t xml:space="preserve">Installation month</t>
  </si>
  <si>
    <t xml:space="preserve">Meters installed</t>
  </si>
  <si>
    <t xml:space="preserve">Commissioned</t>
  </si>
  <si>
    <t xml:space="preserve">% commissioned</t>
  </si>
  <si>
    <t xml:space="preserve">Installations audited</t>
  </si>
  <si>
    <t xml:space="preserve">Audit Critical/Major defects</t>
  </si>
  <si>
    <t xml:space="preserve">Audit defect rate</t>
  </si>
  <si>
    <t xml:space="preserve">First-time-right %</t>
  </si>
  <si>
    <t xml:space="preserve">Must-Pass KPIs met at first full cycle (Y/N)</t>
  </si>
  <si>
    <t xml:space="preserve">Critical/High security findings past deadline (P6)</t>
  </si>
  <si>
    <t xml:space="preserve">Complaints ÷ baseline</t>
  </si>
  <si>
    <t xml:space="preserve">Next-area consumer notice done (Y/N)</t>
  </si>
  <si>
    <t xml:space="preserve">If on watch: KPIs met at recheck (Y/N)</t>
  </si>
  <si>
    <t xml:space="preserve">CH-01</t>
  </si>
  <si>
    <t xml:space="preserve">CH-02</t>
  </si>
  <si>
    <t xml:space="preserve">CH-03</t>
  </si>
  <si>
    <t xml:space="preserve">CH-04</t>
  </si>
  <si>
    <t xml:space="preserve">CH-05</t>
  </si>
  <si>
    <t xml:space="preserve">CH-06</t>
  </si>
  <si>
    <t xml:space="preserve">CH-07</t>
  </si>
  <si>
    <t xml:space="preserve">CH-08</t>
  </si>
  <si>
    <t xml:space="preserve">CH-09</t>
  </si>
  <si>
    <t xml:space="preserve">CH-10</t>
  </si>
  <si>
    <t xml:space="preserve">CH-11</t>
  </si>
  <si>
    <t xml:space="preserve">CH-12</t>
  </si>
  <si>
    <t xml:space="preserve">CH-13</t>
  </si>
  <si>
    <t xml:space="preserve">CH-14</t>
  </si>
  <si>
    <t xml:space="preserve">CH-15</t>
  </si>
  <si>
    <t xml:space="preserve">CH-16</t>
  </si>
  <si>
    <t xml:space="preserve">CH-17</t>
  </si>
  <si>
    <t xml:space="preserve">CH-18</t>
  </si>
  <si>
    <t xml:space="preserve">CH-19</t>
  </si>
  <si>
    <t xml:space="preserve">CH-20</t>
  </si>
  <si>
    <t xml:space="preserve">CH-21</t>
  </si>
  <si>
    <t xml:space="preserve">CH-22</t>
  </si>
  <si>
    <t xml:space="preserve">CH-23</t>
  </si>
  <si>
    <t xml:space="preserve">CH-24</t>
  </si>
  <si>
    <t xml:space="preserve">CH-25</t>
  </si>
  <si>
    <t xml:space="preserve">CH-26</t>
  </si>
  <si>
    <t xml:space="preserve">CH-27</t>
  </si>
  <si>
    <t xml:space="preserve">CH-28</t>
  </si>
  <si>
    <t xml:space="preserve">CH-29</t>
  </si>
  <si>
    <t xml:space="preserve">CH-30</t>
  </si>
  <si>
    <t xml:space="preserve">Cohorts in PAUSE or HOLD</t>
  </si>
  <si>
    <t xml:space="preserve">Cohorts on WATCH</t>
  </si>
  <si>
    <t xml:space="preserve">Other pause triggers (Protocol 10.6) are recorded in the W1 Gate Log: a serious safety incident, a security incident or a Critical finding without an approved compensating control within 72 hours (P6), a batch or firmware failure pattern (E2 Failure Tracking), or estimated bills or billing corrections above threshold in any cycle.</t>
  </si>
  <si>
    <t xml:space="preserve">R: Meter Logistics: Receiving Inspection and Stock Reconciliation</t>
  </si>
  <si>
    <t xml:space="preserve">Stages P and R · Protocol Section 10.10. Register every device by serial number; accept lots only after sampling; reconcile stock daily.</t>
  </si>
  <si>
    <t xml:space="preserve">Lot no.</t>
  </si>
  <si>
    <t xml:space="preserve">Supplier</t>
  </si>
  <si>
    <t xml:space="preserve">Model</t>
  </si>
  <si>
    <t xml:space="preserve">Firmware</t>
  </si>
  <si>
    <t xml:space="preserve">Sample size</t>
  </si>
  <si>
    <t xml:space="preserve">Defects found</t>
  </si>
  <si>
    <t xml:space="preserve">Acceptance number (max defects)</t>
  </si>
  <si>
    <t xml:space="preserve">Decision</t>
  </si>
  <si>
    <t xml:space="preserve">Inspected by</t>
  </si>
  <si>
    <t xml:space="preserve">Sample size and acceptance number come from the acceptance-sampling plan in the supply contract (for example, the IEC 62058 series).</t>
  </si>
  <si>
    <t xml:space="preserve">Stock reconciliation</t>
  </si>
  <si>
    <t xml:space="preserve">Device type</t>
  </si>
  <si>
    <t xml:space="preserve">Opening</t>
  </si>
  <si>
    <t xml:space="preserve">Received</t>
  </si>
  <si>
    <t xml:space="preserve">Issued to installers</t>
  </si>
  <si>
    <t xml:space="preserve">Returned</t>
  </si>
  <si>
    <t xml:space="preserve">Closing (calculated)</t>
  </si>
  <si>
    <t xml:space="preserve">Physical count</t>
  </si>
  <si>
    <t xml:space="preserve">Variance</t>
  </si>
  <si>
    <t xml:space="preserve">Investigated by / remarks</t>
  </si>
  <si>
    <t xml:space="preserve">R: Benefits Realization Tracker</t>
  </si>
  <si>
    <t xml:space="preserve">Stages R and E2 · Protocol Sections 10 and 19.3. Report quarterly. A benefit counts only if its baseline was measured and a named owner delivers it.</t>
  </si>
  <si>
    <t xml:space="preserve">Business case annual value (PHP)</t>
  </si>
  <si>
    <t xml:space="preserve">Baseline metric (from A2)</t>
  </si>
  <si>
    <t xml:space="preserve">Current metric</t>
  </si>
  <si>
    <t xml:space="preserve">Measured annualized value (PHP)</t>
  </si>
  <si>
    <t xml:space="preserve">% of business case</t>
  </si>
  <si>
    <t xml:space="preserve">Field visits avoided</t>
  </si>
  <si>
    <t xml:space="preserve">Billing error and dispute reduction</t>
  </si>
  <si>
    <t xml:space="preserve">Collection improvement</t>
  </si>
  <si>
    <t xml:space="preserve">Asset and planning value</t>
  </si>
  <si>
    <t xml:space="preserve">E2: Failure Rates and Warranty Tracking</t>
  </si>
  <si>
    <t xml:space="preserve">Stages R and E2 · Protocol Section 20.3. Track annualized failure rate by model, batch, and firmware; invoke the serial-failure clause when a batch exceeds the contractual rate.</t>
  </si>
  <si>
    <t xml:space="preserve">Batch / lot</t>
  </si>
  <si>
    <t xml:space="preserve">Installed base (12-month average)</t>
  </si>
  <si>
    <t xml:space="preserve">Failures in last 12 months</t>
  </si>
  <si>
    <t xml:space="preserve">Annualized failure rate</t>
  </si>
  <si>
    <t xml:space="preserve">Contractual or warranty rate</t>
  </si>
  <si>
    <t xml:space="preserve">Flag</t>
  </si>
  <si>
    <t xml:space="preserve">Warranty claims filed</t>
  </si>
  <si>
    <t xml:space="preserve">Claims accepted</t>
  </si>
  <si>
    <t xml:space="preserve">Action</t>
  </si>
  <si>
    <t xml:space="preserve">In-service accuracy sampling (Protocol 20.3)</t>
  </si>
  <si>
    <t xml:space="preserve">Lot / batch</t>
  </si>
  <si>
    <t xml:space="preserve">Test date</t>
  </si>
  <si>
    <t xml:space="preserve">Meters tested</t>
  </si>
  <si>
    <t xml:space="preserve">Outside accuracy class</t>
  </si>
  <si>
    <t xml:space="preserve">Allowed (sampling plan)</t>
  </si>
  <si>
    <t xml:space="preserve">Tested by</t>
  </si>
  <si>
    <t xml:space="preserve">All stages · Protocol Section 14. Dated register: references current as of September 2026 and cited as amended or superseded. Confirm the issuance number and current text of each before relying on it.</t>
  </si>
  <si>
    <t xml:space="preserve">Instrument</t>
  </si>
  <si>
    <t xml:space="preserve">Issuer</t>
  </si>
  <si>
    <t xml:space="preserve">Relevance to AMI</t>
  </si>
  <si>
    <t xml:space="preserve">Confirmed current on</t>
  </si>
  <si>
    <t xml:space="preserve">Confirmed by</t>
  </si>
  <si>
    <t xml:space="preserve">Next review</t>
  </si>
  <si>
    <t xml:space="preserve">Amended Rules to Govern the Implementation of AMI (approved November 2025) and supplemental guidelines</t>
  </si>
  <si>
    <t xml:space="preserve">Primary AMI rules; CMDC; approval route; technical, cybersecurity, and privacy requirements. Cite the resolution number from the issued text; track supplemental guidelines.</t>
  </si>
  <si>
    <t xml:space="preserve">Resolution No. 16, Series of 2017: Type approval of smart meters</t>
  </si>
  <si>
    <t xml:space="preserve">Type approval; IEC 62052/62053 or ANSI C12 certificates; five-year revalidation</t>
  </si>
  <si>
    <t xml:space="preserve">Magna Carta for Residential Electricity Consumers, as amended, and any revised consumer charter</t>
  </si>
  <si>
    <t xml:space="preserve">Disconnection notice and timing rules (at the time of writing: 48-hour written notice; no disconnection after 3:00 p.m. on weekdays, or on weekends and holidays). Amendments were under review in 2025–2026: confirm current text and update HES disconnection windows</t>
  </si>
  <si>
    <t xml:space="preserve">ERC rules on meter testing, calibration, and sealing</t>
  </si>
  <si>
    <t xml:space="preserve">Testing and sealing before installation; consumer-requested tests; confirm current procedures</t>
  </si>
  <si>
    <t xml:space="preserve">Resolution No. 15, Series of 2009: Prepaid Retail Electric Service</t>
  </si>
  <si>
    <t xml:space="preserve">Prepaid service rules; confirm amendments</t>
  </si>
  <si>
    <t xml:space="preserve">Resolution No. 15, Series of 2025: Amended Net-Metering Rules</t>
  </si>
  <si>
    <t xml:space="preserve">Bidirectional metering; credits; interconnection timelines</t>
  </si>
  <si>
    <t xml:space="preserve">CAPEX approval rules and rate methodology applicable to the utility</t>
  </si>
  <si>
    <t xml:space="preserve">Approval route and cost recovery</t>
  </si>
  <si>
    <t xml:space="preserve">RA 7832 (Anti-Pilferage of Electricity Act), implementing rules, and ERC system loss rules</t>
  </si>
  <si>
    <t xml:space="preserve">Congress / ERC</t>
  </si>
  <si>
    <t xml:space="preserve">Theft enforcement: witnessed discovery, evidence, differential billing; system loss caps (under policy review in 2026)</t>
  </si>
  <si>
    <t xml:space="preserve">RA 9513 (Renewable Energy Act of 2008)</t>
  </si>
  <si>
    <t xml:space="preserve">Congress</t>
  </si>
  <si>
    <t xml:space="preserve">Legal basis of net metering</t>
  </si>
  <si>
    <t xml:space="preserve">Rules on Electronic Evidence</t>
  </si>
  <si>
    <t xml:space="preserve">Supreme Court</t>
  </si>
  <si>
    <t xml:space="preserve">Use of AMI data as evidence; confirm with counsel</t>
  </si>
  <si>
    <t xml:space="preserve">Philippine Distribution Code (current edition)</t>
  </si>
  <si>
    <t xml:space="preserve">Technical standards; reliability indices; metering</t>
  </si>
  <si>
    <t xml:space="preserve">RA 9136 (EPIRA) and implementing rules</t>
  </si>
  <si>
    <t xml:space="preserve">Congress / DOE</t>
  </si>
  <si>
    <t xml:space="preserve">Distribution service framework; ERC authority</t>
  </si>
  <si>
    <t xml:space="preserve">RA 10531 (NEA Reform Act) and NEA issuances</t>
  </si>
  <si>
    <t xml:space="preserve">Congress / NEA</t>
  </si>
  <si>
    <t xml:space="preserve">EC supervision; financing and technical oversight; EC procurement guidelines</t>
  </si>
  <si>
    <t xml:space="preserve">RA 11039 (Electric Cooperatives Emergency and Resiliency Fund Act)</t>
  </si>
  <si>
    <t xml:space="preserve">Congress / DOE / NEA</t>
  </si>
  <si>
    <t xml:space="preserve">Post-calamity restoration funding for ECs; confirm AMI eligibility</t>
  </si>
  <si>
    <t xml:space="preserve">RA 11646 (Microgrid Systems Act) and missionary electrification rules</t>
  </si>
  <si>
    <t xml:space="preserve">Congress / DOE / ERC</t>
  </si>
  <si>
    <t xml:space="preserve">Off-grid and missionary areas; cost recovery</t>
  </si>
  <si>
    <t xml:space="preserve">RA 12009 (New Government Procurement Act) and other procurement rules applicable to the utility</t>
  </si>
  <si>
    <t xml:space="preserve">Congress / GPPB</t>
  </si>
  <si>
    <t xml:space="preserve">Confirm with counsel which procurement rules apply</t>
  </si>
  <si>
    <t xml:space="preserve">RA 11032 (Ease of Doing Business Act)</t>
  </si>
  <si>
    <t xml:space="preserve">Congress / ARTA</t>
  </si>
  <si>
    <t xml:space="preserve">Processing times where an Adopting Body is a government agency</t>
  </si>
  <si>
    <t xml:space="preserve">RA 10173 (Data Privacy Act), implementing rules, and NPC circulars</t>
  </si>
  <si>
    <t xml:space="preserve">Congress / NPC</t>
  </si>
  <si>
    <t xml:space="preserve">Lawful processing; DPO; processing agreements; registration where required; cross-border transfers; breach notification within 72 hours</t>
  </si>
  <si>
    <t xml:space="preserve">RA 10844 (DICT Act) and DICT issuances on critical information infrastructure and incident reporting (CERT-PH)</t>
  </si>
  <si>
    <t xml:space="preserve">Congress / DICT</t>
  </si>
  <si>
    <t xml:space="preserve">CII protection; national incident reporting; confirm current requirements</t>
  </si>
  <si>
    <t xml:space="preserve">RA 10535 (Philippine Standard Time Act)</t>
  </si>
  <si>
    <t xml:space="preserve">Congress / PAGASA</t>
  </si>
  <si>
    <t xml:space="preserve">Time source traceability for AMI</t>
  </si>
  <si>
    <t xml:space="preserve">Labor Code of the Philippines and DOLE rules</t>
  </si>
  <si>
    <t xml:space="preserve">Congress / DOLE</t>
  </si>
  <si>
    <t xml:space="preserve">Workforce transition: consultation, redeployment, separation</t>
  </si>
  <si>
    <t xml:space="preserve">Department Circular No. DC2025-01-0001: Energy Sector Cybersecurity and Cyber Resilience Framework</t>
  </si>
  <si>
    <t xml:space="preserve">Annual CAF and CRS (April 30); VAPT; quarterly reports; CERT; confirm coverage</t>
  </si>
  <si>
    <t xml:space="preserve">Executive Order No. 58: National Cybersecurity Plan 2023–2028</t>
  </si>
  <si>
    <t xml:space="preserve">Office of the President / DICT</t>
  </si>
  <si>
    <t xml:space="preserve">National cybersecurity direction</t>
  </si>
  <si>
    <t xml:space="preserve">RA 10175 (Cybercrime Prevention Act)</t>
  </si>
  <si>
    <t xml:space="preserve">Cyber offenses and reporting</t>
  </si>
  <si>
    <t xml:space="preserve">Radio equipment authorization and frequency rules</t>
  </si>
  <si>
    <t xml:space="preserve">NTC</t>
  </si>
  <si>
    <t xml:space="preserve">RF and cellular modules and network equipment</t>
  </si>
  <si>
    <t xml:space="preserve">Retail Competition and Open Access rules (as amended 2025)</t>
  </si>
  <si>
    <t xml:space="preserve">Interval data and data-sharing for contestable customers</t>
  </si>
  <si>
    <t xml:space="preserve">RA 11058 (Occupational Safety and Health Standards) and DOLE rules</t>
  </si>
  <si>
    <t xml:space="preserve">Installation safety</t>
  </si>
</sst>
</file>

<file path=xl/styles.xml><?xml version="1.0" encoding="utf-8"?>
<styleSheet xmlns="http://schemas.openxmlformats.org/spreadsheetml/2006/main">
  <numFmts count="17">
    <numFmt numFmtId="164" formatCode="General"/>
    <numFmt numFmtId="165" formatCode="yyyy\-mm\-dd"/>
    <numFmt numFmtId="166" formatCode="#,##0.00"/>
    <numFmt numFmtId="167" formatCode="0.0%"/>
    <numFmt numFmtId="168" formatCode="\₱#,##0.00"/>
    <numFmt numFmtId="169" formatCode="#,##0.0"/>
    <numFmt numFmtId="170" formatCode="0%"/>
    <numFmt numFmtId="171" formatCode="#,##0"/>
    <numFmt numFmtId="172" formatCode="\₱#,##0"/>
    <numFmt numFmtId="173" formatCode="0"/>
    <numFmt numFmtId="174" formatCode="\₱#,##0;&quot;(₱&quot;#,##0\);\-"/>
    <numFmt numFmtId="175" formatCode="0.000"/>
    <numFmt numFmtId="176" formatCode="\₱0.0000"/>
    <numFmt numFmtId="177" formatCode="0.00"/>
    <numFmt numFmtId="178" formatCode="0.0"/>
    <numFmt numFmtId="179" formatCode="0.00%"/>
    <numFmt numFmtId="180" formatCode="mmm\ yyyy"/>
  </numFmts>
  <fonts count="23">
    <font>
      <sz val="11"/>
      <color theme="1"/>
      <name val="Calibri"/>
      <family val="2"/>
      <charset val="1"/>
    </font>
    <font>
      <sz val="10"/>
      <name val="Arial"/>
      <family val="0"/>
    </font>
    <font>
      <sz val="10"/>
      <name val="Arial"/>
      <family val="0"/>
    </font>
    <font>
      <sz val="10"/>
      <name val="Arial"/>
      <family val="0"/>
    </font>
    <font>
      <b val="true"/>
      <sz val="18"/>
      <color rgb="FF1F3864"/>
      <name val="Arial"/>
      <family val="0"/>
      <charset val="1"/>
    </font>
    <font>
      <sz val="10"/>
      <color rgb="FF595959"/>
      <name val="Arial"/>
      <family val="0"/>
      <charset val="1"/>
    </font>
    <font>
      <b val="true"/>
      <sz val="9"/>
      <color rgb="FF1F3864"/>
      <name val="Arial"/>
      <family val="0"/>
      <charset val="1"/>
    </font>
    <font>
      <b val="true"/>
      <sz val="11"/>
      <color rgb="FF1F3864"/>
      <name val="Arial"/>
      <family val="0"/>
      <charset val="1"/>
    </font>
    <font>
      <sz val="9"/>
      <name val="Arial"/>
      <family val="0"/>
      <charset val="1"/>
    </font>
    <font>
      <b val="true"/>
      <sz val="9"/>
      <color rgb="FFFFFFFF"/>
      <name val="Arial"/>
      <family val="0"/>
      <charset val="1"/>
    </font>
    <font>
      <b val="true"/>
      <u val="single"/>
      <sz val="9"/>
      <color rgb="FF0563C1"/>
      <name val="Arial"/>
      <family val="0"/>
      <charset val="1"/>
    </font>
    <font>
      <sz val="9"/>
      <color rgb="FF000000"/>
      <name val="Arial"/>
      <family val="0"/>
      <charset val="1"/>
    </font>
    <font>
      <i val="true"/>
      <sz val="8"/>
      <color rgb="FF808080"/>
      <name val="Arial"/>
      <family val="0"/>
      <charset val="1"/>
    </font>
    <font>
      <b val="true"/>
      <sz val="14"/>
      <color rgb="FF1F3864"/>
      <name val="Arial"/>
      <family val="0"/>
      <charset val="1"/>
    </font>
    <font>
      <i val="true"/>
      <sz val="9"/>
      <color rgb="FF595959"/>
      <name val="Arial"/>
      <family val="0"/>
      <charset val="1"/>
    </font>
    <font>
      <b val="true"/>
      <sz val="9"/>
      <color rgb="FF000000"/>
      <name val="Arial"/>
      <family val="0"/>
      <charset val="1"/>
    </font>
    <font>
      <sz val="9"/>
      <color rgb="FF0000FF"/>
      <name val="Arial"/>
      <family val="0"/>
      <charset val="1"/>
    </font>
    <font>
      <i val="true"/>
      <sz val="9"/>
      <color rgb="FF000000"/>
      <name val="Arial"/>
      <family val="0"/>
      <charset val="1"/>
    </font>
    <font>
      <i val="true"/>
      <sz val="8"/>
      <color rgb="FF595959"/>
      <name val="Arial"/>
      <family val="0"/>
      <charset val="1"/>
    </font>
    <font>
      <b val="true"/>
      <sz val="9"/>
      <name val="Arial"/>
      <family val="0"/>
      <charset val="1"/>
    </font>
    <font>
      <i val="true"/>
      <sz val="9"/>
      <color rgb="FF808080"/>
      <name val="Arial"/>
      <family val="0"/>
      <charset val="1"/>
    </font>
    <font>
      <sz val="8"/>
      <color rgb="FFFFFFFF"/>
      <name val="Arial"/>
      <family val="0"/>
      <charset val="1"/>
    </font>
    <font>
      <i val="true"/>
      <sz val="8"/>
      <color rgb="FFC00000"/>
      <name val="Arial"/>
      <family val="0"/>
      <charset val="1"/>
    </font>
  </fonts>
  <fills count="6">
    <fill>
      <patternFill patternType="none"/>
    </fill>
    <fill>
      <patternFill patternType="gray125"/>
    </fill>
    <fill>
      <patternFill patternType="solid">
        <fgColor rgb="FF1F3864"/>
        <bgColor rgb="FF333333"/>
      </patternFill>
    </fill>
    <fill>
      <patternFill patternType="solid">
        <fgColor rgb="FFDEEAF6"/>
        <bgColor rgb="FFF2F2F2"/>
      </patternFill>
    </fill>
    <fill>
      <patternFill patternType="solid">
        <fgColor rgb="FFFFF2CC"/>
        <bgColor rgb="FFF2F2F2"/>
      </patternFill>
    </fill>
    <fill>
      <patternFill patternType="solid">
        <fgColor rgb="FFF2F2F2"/>
        <bgColor rgb="FFDEEAF6"/>
      </patternFill>
    </fill>
  </fills>
  <borders count="2">
    <border diagonalUp="false" diagonalDown="false">
      <left/>
      <right/>
      <top/>
      <bottom/>
      <diagonal/>
    </border>
    <border diagonalUp="false" diagonalDown="false">
      <left style="thin">
        <color rgb="FFBFBFBF"/>
      </left>
      <right style="thin">
        <color rgb="FFBFBFBF"/>
      </right>
      <top style="thin">
        <color rgb="FFBFBFBF"/>
      </top>
      <bottom style="thin">
        <color rgb="FFBFBFB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5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9" fillId="2" borderId="1" xfId="0" applyFont="true" applyBorder="true" applyAlignment="true" applyProtection="false">
      <alignment horizontal="general" vertical="center" textRotation="0" wrapText="true" indent="0" shrinkToFit="false"/>
      <protection locked="true" hidden="false"/>
    </xf>
    <xf numFmtId="164" fontId="10" fillId="3" borderId="1" xfId="0" applyFont="true" applyBorder="true" applyAlignment="true" applyProtection="false">
      <alignment horizontal="general" vertical="top" textRotation="0" wrapText="true" indent="0" shrinkToFit="false"/>
      <protection locked="true" hidden="false"/>
    </xf>
    <xf numFmtId="164" fontId="11" fillId="0" borderId="1" xfId="0" applyFont="true" applyBorder="true" applyAlignment="true" applyProtection="false">
      <alignment horizontal="general" vertical="top" textRotation="0" wrapText="tru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4" fontId="14" fillId="0" borderId="0" xfId="0" applyFont="true" applyBorder="false" applyAlignment="false" applyProtection="false">
      <alignment horizontal="general" vertical="bottom" textRotation="0" wrapText="false" indent="0" shrinkToFit="false"/>
      <protection locked="true" hidden="false"/>
    </xf>
    <xf numFmtId="164" fontId="15" fillId="3" borderId="1" xfId="0" applyFont="true" applyBorder="true" applyAlignment="true" applyProtection="false">
      <alignment horizontal="general" vertical="top" textRotation="0" wrapText="true" indent="0" shrinkToFit="false"/>
      <protection locked="true" hidden="false"/>
    </xf>
    <xf numFmtId="164" fontId="16" fillId="4" borderId="1" xfId="0" applyFont="true" applyBorder="true" applyAlignment="true" applyProtection="false">
      <alignment horizontal="general" vertical="top" textRotation="0" wrapText="true" indent="0" shrinkToFit="false"/>
      <protection locked="true" hidden="false"/>
    </xf>
    <xf numFmtId="165" fontId="16" fillId="4" borderId="1" xfId="0" applyFont="true" applyBorder="true" applyAlignment="true" applyProtection="false">
      <alignment horizontal="general" vertical="top" textRotation="0" wrapText="true" indent="0" shrinkToFit="false"/>
      <protection locked="true" hidden="false"/>
    </xf>
    <xf numFmtId="164" fontId="11" fillId="5" borderId="1" xfId="0" applyFont="true" applyBorder="true" applyAlignment="true" applyProtection="false">
      <alignment horizontal="general" vertical="top" textRotation="0" wrapText="true" indent="0" shrinkToFit="false"/>
      <protection locked="true" hidden="false"/>
    </xf>
    <xf numFmtId="164" fontId="15" fillId="0" borderId="0" xfId="0" applyFont="true" applyBorder="true" applyAlignment="true" applyProtection="false">
      <alignment horizontal="general" vertical="top" textRotation="0" wrapText="true" indent="0" shrinkToFit="false"/>
      <protection locked="true" hidden="false"/>
    </xf>
    <xf numFmtId="164" fontId="15" fillId="0" borderId="1" xfId="0" applyFont="true" applyBorder="true" applyAlignment="true" applyProtection="false">
      <alignment horizontal="general" vertical="top" textRotation="0" wrapText="true" indent="0" shrinkToFit="false"/>
      <protection locked="true" hidden="false"/>
    </xf>
    <xf numFmtId="164" fontId="17" fillId="0" borderId="1" xfId="0" applyFont="true" applyBorder="true" applyAlignment="true" applyProtection="false">
      <alignment horizontal="general" vertical="top" textRotation="0" wrapText="true" indent="0" shrinkToFit="false"/>
      <protection locked="true" hidden="false"/>
    </xf>
    <xf numFmtId="166" fontId="16" fillId="4" borderId="1" xfId="0" applyFont="true" applyBorder="true" applyAlignment="true" applyProtection="false">
      <alignment horizontal="general" vertical="top" textRotation="0" wrapText="true" indent="0" shrinkToFit="false"/>
      <protection locked="true" hidden="false"/>
    </xf>
    <xf numFmtId="167" fontId="15" fillId="0" borderId="1" xfId="0" applyFont="true" applyBorder="true" applyAlignment="true" applyProtection="false">
      <alignment horizontal="general" vertical="top" textRotation="0" wrapText="true" indent="0" shrinkToFit="false"/>
      <protection locked="true" hidden="false"/>
    </xf>
    <xf numFmtId="168" fontId="15" fillId="0" borderId="1" xfId="0" applyFont="true" applyBorder="true" applyAlignment="true" applyProtection="false">
      <alignment horizontal="general" vertical="top" textRotation="0" wrapText="true" indent="0" shrinkToFit="false"/>
      <protection locked="true" hidden="false"/>
    </xf>
    <xf numFmtId="169" fontId="15" fillId="0" borderId="1" xfId="0" applyFont="true" applyBorder="true" applyAlignment="true" applyProtection="false">
      <alignment horizontal="general" vertical="top" textRotation="0" wrapText="true" indent="0" shrinkToFit="false"/>
      <protection locked="true" hidden="false"/>
    </xf>
    <xf numFmtId="166" fontId="15" fillId="0" borderId="1" xfId="0" applyFont="true" applyBorder="true" applyAlignment="true" applyProtection="false">
      <alignment horizontal="general" vertical="top" textRotation="0" wrapText="true" indent="0" shrinkToFit="false"/>
      <protection locked="true" hidden="false"/>
    </xf>
    <xf numFmtId="170" fontId="16" fillId="4" borderId="1" xfId="0" applyFont="true" applyBorder="true" applyAlignment="true" applyProtection="false">
      <alignment horizontal="general" vertical="top" textRotation="0" wrapText="true" indent="0" shrinkToFit="false"/>
      <protection locked="true" hidden="false"/>
    </xf>
    <xf numFmtId="170" fontId="15" fillId="0" borderId="1" xfId="0" applyFont="true" applyBorder="true" applyAlignment="true" applyProtection="false">
      <alignment horizontal="general" vertical="top" textRotation="0" wrapText="true" indent="0" shrinkToFit="false"/>
      <protection locked="true" hidden="false"/>
    </xf>
    <xf numFmtId="164" fontId="18" fillId="0" borderId="0" xfId="0" applyFont="true" applyBorder="false" applyAlignment="false" applyProtection="false">
      <alignment horizontal="general" vertical="bottom" textRotation="0" wrapText="false" indent="0" shrinkToFit="false"/>
      <protection locked="true" hidden="false"/>
    </xf>
    <xf numFmtId="167" fontId="16" fillId="4" borderId="1" xfId="0" applyFont="true" applyBorder="true" applyAlignment="true" applyProtection="false">
      <alignment horizontal="general" vertical="top" textRotation="0" wrapText="true" indent="0" shrinkToFit="false"/>
      <protection locked="true" hidden="false"/>
    </xf>
    <xf numFmtId="171" fontId="16" fillId="4" borderId="1" xfId="0" applyFont="true" applyBorder="true" applyAlignment="true" applyProtection="false">
      <alignment horizontal="general" vertical="top" textRotation="0" wrapText="true" indent="0" shrinkToFit="false"/>
      <protection locked="true" hidden="false"/>
    </xf>
    <xf numFmtId="164" fontId="19" fillId="0" borderId="0" xfId="0" applyFont="true" applyBorder="false" applyAlignment="false" applyProtection="false">
      <alignment horizontal="general" vertical="bottom" textRotation="0" wrapText="false" indent="0" shrinkToFit="false"/>
      <protection locked="true" hidden="false"/>
    </xf>
    <xf numFmtId="172" fontId="16" fillId="4" borderId="1" xfId="0" applyFont="true" applyBorder="true" applyAlignment="true" applyProtection="false">
      <alignment horizontal="general" vertical="top" textRotation="0" wrapText="true" indent="0" shrinkToFit="false"/>
      <protection locked="true" hidden="false"/>
    </xf>
    <xf numFmtId="173" fontId="16" fillId="4" borderId="1" xfId="0" applyFont="true" applyBorder="true" applyAlignment="true" applyProtection="false">
      <alignment horizontal="general" vertical="top" textRotation="0" wrapText="true" indent="0" shrinkToFit="false"/>
      <protection locked="true" hidden="false"/>
    </xf>
    <xf numFmtId="174" fontId="11" fillId="0" borderId="1" xfId="0" applyFont="true" applyBorder="true" applyAlignment="true" applyProtection="false">
      <alignment horizontal="general" vertical="top" textRotation="0" wrapText="true" indent="0" shrinkToFit="false"/>
      <protection locked="true" hidden="false"/>
    </xf>
    <xf numFmtId="174" fontId="15" fillId="0" borderId="1" xfId="0" applyFont="true" applyBorder="true" applyAlignment="true" applyProtection="false">
      <alignment horizontal="general" vertical="top" textRotation="0" wrapText="true" indent="0" shrinkToFit="false"/>
      <protection locked="true" hidden="false"/>
    </xf>
    <xf numFmtId="174" fontId="16" fillId="4" borderId="1" xfId="0" applyFont="true" applyBorder="true" applyAlignment="true" applyProtection="false">
      <alignment horizontal="general" vertical="top" textRotation="0" wrapText="true" indent="0" shrinkToFit="false"/>
      <protection locked="true" hidden="false"/>
    </xf>
    <xf numFmtId="164" fontId="17" fillId="3" borderId="1" xfId="0" applyFont="true" applyBorder="true" applyAlignment="true" applyProtection="false">
      <alignment horizontal="general" vertical="top" textRotation="0" wrapText="true" indent="0" shrinkToFit="false"/>
      <protection locked="true" hidden="false"/>
    </xf>
    <xf numFmtId="164" fontId="11" fillId="3" borderId="1" xfId="0" applyFont="true" applyBorder="true" applyAlignment="true" applyProtection="false">
      <alignment horizontal="general" vertical="top" textRotation="0" wrapText="true" indent="0" shrinkToFit="false"/>
      <protection locked="true" hidden="false"/>
    </xf>
    <xf numFmtId="175" fontId="11" fillId="0" borderId="1" xfId="0" applyFont="true" applyBorder="true" applyAlignment="true" applyProtection="false">
      <alignment horizontal="general" vertical="top" textRotation="0" wrapText="true" indent="0" shrinkToFit="false"/>
      <protection locked="true" hidden="false"/>
    </xf>
    <xf numFmtId="173" fontId="15" fillId="0" borderId="1" xfId="0" applyFont="true" applyBorder="true" applyAlignment="true" applyProtection="false">
      <alignment horizontal="general" vertical="top" textRotation="0" wrapText="true" indent="0" shrinkToFit="false"/>
      <protection locked="true" hidden="false"/>
    </xf>
    <xf numFmtId="176" fontId="15" fillId="0" borderId="1" xfId="0" applyFont="true" applyBorder="true" applyAlignment="true" applyProtection="false">
      <alignment horizontal="general" vertical="top" textRotation="0" wrapText="true" indent="0" shrinkToFit="false"/>
      <protection locked="true" hidden="false"/>
    </xf>
    <xf numFmtId="177" fontId="16" fillId="4" borderId="1" xfId="0" applyFont="true" applyBorder="true" applyAlignment="true" applyProtection="false">
      <alignment horizontal="general" vertical="top" textRotation="0" wrapText="true" indent="0" shrinkToFit="false"/>
      <protection locked="true" hidden="false"/>
    </xf>
    <xf numFmtId="177" fontId="11" fillId="0" borderId="1" xfId="0" applyFont="true" applyBorder="true" applyAlignment="true" applyProtection="false">
      <alignment horizontal="general" vertical="top" textRotation="0" wrapText="true" indent="0" shrinkToFit="false"/>
      <protection locked="true" hidden="false"/>
    </xf>
    <xf numFmtId="164" fontId="20" fillId="0" borderId="1" xfId="0" applyFont="true" applyBorder="true" applyAlignment="true" applyProtection="false">
      <alignment horizontal="general" vertical="top" textRotation="0" wrapText="true" indent="0" shrinkToFit="false"/>
      <protection locked="true" hidden="false"/>
    </xf>
    <xf numFmtId="178" fontId="16" fillId="4" borderId="1" xfId="0" applyFont="true" applyBorder="true" applyAlignment="true" applyProtection="false">
      <alignment horizontal="general" vertical="top" textRotation="0" wrapText="true" indent="0" shrinkToFit="false"/>
      <protection locked="true" hidden="false"/>
    </xf>
    <xf numFmtId="175" fontId="16" fillId="4" borderId="1" xfId="0" applyFont="true" applyBorder="true" applyAlignment="true" applyProtection="false">
      <alignment horizontal="general" vertical="top" textRotation="0" wrapText="true" indent="0" shrinkToFit="false"/>
      <protection locked="true" hidden="false"/>
    </xf>
    <xf numFmtId="171" fontId="15" fillId="0" borderId="1" xfId="0" applyFont="true" applyBorder="true" applyAlignment="true" applyProtection="false">
      <alignment horizontal="general" vertical="top" textRotation="0" wrapText="true" indent="0" shrinkToFit="false"/>
      <protection locked="true" hidden="false"/>
    </xf>
    <xf numFmtId="164" fontId="9" fillId="2" borderId="1" xfId="0" applyFont="true" applyBorder="true" applyAlignment="true" applyProtection="false">
      <alignment horizontal="general" vertical="top" textRotation="0" wrapText="true" indent="0" shrinkToFit="false"/>
      <protection locked="true" hidden="false"/>
    </xf>
    <xf numFmtId="165" fontId="11" fillId="0" borderId="1" xfId="0" applyFont="true" applyBorder="true" applyAlignment="true" applyProtection="false">
      <alignment horizontal="general" vertical="top" textRotation="0" wrapText="true" indent="0" shrinkToFit="false"/>
      <protection locked="true" hidden="false"/>
    </xf>
    <xf numFmtId="167" fontId="11" fillId="0" borderId="1" xfId="0" applyFont="true" applyBorder="true" applyAlignment="true" applyProtection="false">
      <alignment horizontal="general" vertical="top" textRotation="0" wrapText="true" indent="0" shrinkToFit="false"/>
      <protection locked="true" hidden="false"/>
    </xf>
    <xf numFmtId="170" fontId="11" fillId="0" borderId="1" xfId="0" applyFont="true" applyBorder="true" applyAlignment="true" applyProtection="false">
      <alignment horizontal="general" vertical="top" textRotation="0" wrapText="true" indent="0" shrinkToFit="false"/>
      <protection locked="true" hidden="false"/>
    </xf>
    <xf numFmtId="164" fontId="21" fillId="0" borderId="0" xfId="0" applyFont="true" applyBorder="false" applyAlignment="false" applyProtection="false">
      <alignment horizontal="general" vertical="bottom" textRotation="0" wrapText="false" indent="0" shrinkToFit="false"/>
      <protection locked="true" hidden="false"/>
    </xf>
    <xf numFmtId="178" fontId="15" fillId="0" borderId="1" xfId="0" applyFont="true" applyBorder="true" applyAlignment="true" applyProtection="false">
      <alignment horizontal="general" vertical="top" textRotation="0" wrapText="true" indent="0" shrinkToFit="false"/>
      <protection locked="true" hidden="false"/>
    </xf>
    <xf numFmtId="164" fontId="22" fillId="0" borderId="0" xfId="0" applyFont="true" applyBorder="false" applyAlignment="false" applyProtection="false">
      <alignment horizontal="general" vertical="bottom" textRotation="0" wrapText="false" indent="0" shrinkToFit="false"/>
      <protection locked="true" hidden="false"/>
    </xf>
    <xf numFmtId="179" fontId="16" fillId="4" borderId="1" xfId="0" applyFont="true" applyBorder="true" applyAlignment="true" applyProtection="false">
      <alignment horizontal="general" vertical="top" textRotation="0" wrapText="true" indent="0" shrinkToFit="false"/>
      <protection locked="true" hidden="false"/>
    </xf>
    <xf numFmtId="180" fontId="16" fillId="4" borderId="1" xfId="0" applyFont="true" applyBorder="true" applyAlignment="true" applyProtection="false">
      <alignment horizontal="general" vertical="top" textRotation="0" wrapText="true" indent="0" shrinkToFit="false"/>
      <protection locked="true" hidden="false"/>
    </xf>
    <xf numFmtId="171" fontId="11" fillId="0" borderId="1" xfId="0" applyFont="true" applyBorder="true" applyAlignment="true" applyProtection="false">
      <alignment horizontal="general" vertical="top" textRotation="0" wrapText="true" indent="0" shrinkToFit="false"/>
      <protection locked="true" hidden="false"/>
    </xf>
    <xf numFmtId="179" fontId="11" fillId="0" borderId="1" xfId="0" applyFont="true" applyBorder="true" applyAlignment="true" applyProtection="false">
      <alignment horizontal="general" vertical="top" textRotation="0" wrapText="true" indent="0" shrinkToFit="false"/>
      <protection locked="true" hidden="false"/>
    </xf>
    <xf applyNumberFormat="true" numFmtId="165" fontId="16" fillId="4" borderId="1" xfId="0" applyFont="true" applyBorder="true" applyAlignment="true" applyProtection="false">
      <alignment horizontal="general" vertical="top" textRotation="0" wrapText="true" indent="0" shrinkToFit="false"/>
      <protection locked="true" hidden="false"/>
    </xf>
    <xf applyNumberFormat="true" numFmtId="165" fontId="20" fillId="0" borderId="1" xfId="0" applyFont="true" applyBorder="tru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C0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2CC"/>
      <rgbColor rgb="FFDEEAF6"/>
      <rgbColor rgb="FF660066"/>
      <rgbColor rgb="FFFF8080"/>
      <rgbColor rgb="FF0563C1"/>
      <rgbColor rgb="FFCCCCFF"/>
      <rgbColor rgb="FF000080"/>
      <rgbColor rgb="FFFF00FF"/>
      <rgbColor rgb="FFFFFF00"/>
      <rgbColor rgb="FF00FFFF"/>
      <rgbColor rgb="FF800080"/>
      <rgbColor rgb="FF800000"/>
      <rgbColor rgb="FF008080"/>
      <rgbColor rgb="FF0000FF"/>
      <rgbColor rgb="FF00CCFF"/>
      <rgbColor rgb="FFF2F2F2"/>
      <rgbColor rgb="FFCCFFCC"/>
      <rgbColor rgb="FFFFFF99"/>
      <rgbColor rgb="FF99CCFF"/>
      <rgbColor rgb="FFFF99CC"/>
      <rgbColor rgb="FFCC99FF"/>
      <rgbColor rgb="FFFFCC99"/>
      <rgbColor rgb="FF3366FF"/>
      <rgbColor rgb="FF33CCCC"/>
      <rgbColor rgb="FF99CC00"/>
      <rgbColor rgb="FFFFCC00"/>
      <rgbColor rgb="FFFF9900"/>
      <rgbColor rgb="FFFF6600"/>
      <rgbColor rgb="FF595959"/>
      <rgbColor rgb="FF969696"/>
      <rgbColor rgb="FF1F3864"/>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worksheet" Target="worksheets/sheet11.xml"/><Relationship Id="rId14" Type="http://schemas.openxmlformats.org/officeDocument/2006/relationships/worksheet" Target="worksheets/sheet12.xml"/><Relationship Id="rId15" Type="http://schemas.openxmlformats.org/officeDocument/2006/relationships/worksheet" Target="worksheets/sheet13.xml"/><Relationship Id="rId16" Type="http://schemas.openxmlformats.org/officeDocument/2006/relationships/worksheet" Target="worksheets/sheet14.xml"/><Relationship Id="rId17" Type="http://schemas.openxmlformats.org/officeDocument/2006/relationships/worksheet" Target="worksheets/sheet15.xml"/><Relationship Id="rId18" Type="http://schemas.openxmlformats.org/officeDocument/2006/relationships/worksheet" Target="worksheets/sheet16.xml"/><Relationship Id="rId19" Type="http://schemas.openxmlformats.org/officeDocument/2006/relationships/worksheet" Target="worksheets/sheet17.xml"/><Relationship Id="rId20" Type="http://schemas.openxmlformats.org/officeDocument/2006/relationships/worksheet" Target="worksheets/sheet18.xml"/><Relationship Id="rId21" Type="http://schemas.openxmlformats.org/officeDocument/2006/relationships/worksheet" Target="worksheets/sheet19.xml"/><Relationship Id="rId22" Type="http://schemas.openxmlformats.org/officeDocument/2006/relationships/worksheet" Target="worksheets/sheet20.xml"/><Relationship Id="rId23" Type="http://schemas.openxmlformats.org/officeDocument/2006/relationships/worksheet" Target="worksheets/sheet21.xml"/><Relationship Id="rId24" Type="http://schemas.openxmlformats.org/officeDocument/2006/relationships/worksheet" Target="worksheets/sheet22.xml"/><Relationship Id="rId25" Type="http://schemas.openxmlformats.org/officeDocument/2006/relationships/worksheet" Target="worksheets/sheet23.xml"/><Relationship Id="rId26" Type="http://schemas.openxmlformats.org/officeDocument/2006/relationships/worksheet" Target="worksheets/sheet24.xml"/><Relationship Id="rId27" Type="http://schemas.openxmlformats.org/officeDocument/2006/relationships/worksheet" Target="worksheets/sheet25.xml"/><Relationship Id="rId28" Type="http://schemas.openxmlformats.org/officeDocument/2006/relationships/worksheet" Target="worksheets/sheet26.xml"/><Relationship Id="rId29" Type="http://schemas.openxmlformats.org/officeDocument/2006/relationships/worksheet" Target="worksheets/sheet27.xml"/><Relationship Id="rId30" Type="http://schemas.openxmlformats.org/officeDocument/2006/relationships/worksheet" Target="worksheets/sheet28.xml"/><Relationship Id="rId31" Type="http://schemas.openxmlformats.org/officeDocument/2006/relationships/worksheet" Target="worksheets/sheet29.xml"/><Relationship Id="rId32" Type="http://schemas.openxmlformats.org/officeDocument/2006/relationships/worksheet" Target="worksheets/sheet30.xml"/><Relationship Id="rId33" Type="http://schemas.openxmlformats.org/officeDocument/2006/relationships/worksheet" Target="worksheets/sheet31.xml"/><Relationship Id="rId34" Type="http://schemas.openxmlformats.org/officeDocument/2006/relationships/worksheet" Target="worksheets/sheet32.xml"/><Relationship Id="rId35"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E46"/>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8"/>
    <col collapsed="false" customWidth="true" hidden="false" outlineLevel="0" max="2" min="2" style="0" width="20"/>
    <col collapsed="false" customWidth="true" hidden="false" outlineLevel="0" max="3" min="3" style="0" width="66"/>
    <col collapsed="false" customWidth="true" hidden="false" outlineLevel="0" max="4" min="4" style="0" width="24"/>
    <col collapsed="false" customWidth="true" hidden="false" outlineLevel="0" max="5" min="5" style="0" width="10"/>
  </cols>
  <sheetData>
    <row r="1" customFormat="false" ht="22.05" hidden="false" customHeight="false" outlineLevel="0" collapsed="false">
      <c r="A1" s="1" t="s">
        <v>0</v>
      </c>
    </row>
    <row r="2" customFormat="false" ht="15" hidden="false" customHeight="false" outlineLevel="0" collapsed="false">
      <c r="A2" s="2" t="s">
        <v>1</v>
      </c>
    </row>
    <row r="3" customFormat="false" ht="15" hidden="false" customHeight="false" outlineLevel="0" collapsed="false">
      <c r="A3" s="3" t="s">
        <v>2</v>
      </c>
    </row>
    <row r="5" customFormat="false" ht="15" hidden="false" customHeight="false" outlineLevel="0" collapsed="false">
      <c r="A5" s="4" t="s">
        <v>3</v>
      </c>
    </row>
    <row r="6" customFormat="false" ht="15" hidden="false" customHeight="false" outlineLevel="0" collapsed="false">
      <c r="A6" s="5" t="s">
        <v>4</v>
      </c>
    </row>
    <row r="7" customFormat="false" ht="15" hidden="false" customHeight="false" outlineLevel="0" collapsed="false">
      <c r="A7" s="5" t="s">
        <v>5</v>
      </c>
    </row>
    <row r="8" customFormat="false" ht="15" hidden="false" customHeight="false" outlineLevel="0" collapsed="false">
      <c r="A8" s="5" t="s">
        <v>6</v>
      </c>
    </row>
    <row r="9" customFormat="false" ht="15" hidden="false" customHeight="false" outlineLevel="0" collapsed="false">
      <c r="A9" s="5" t="s">
        <v>7</v>
      </c>
    </row>
    <row r="10" customFormat="false" ht="15" hidden="false" customHeight="false" outlineLevel="0" collapsed="false">
      <c r="A10" s="5" t="s">
        <v>8</v>
      </c>
    </row>
    <row r="11" customFormat="false" ht="15" hidden="false" customHeight="false" outlineLevel="0" collapsed="false">
      <c r="A11" s="5" t="s">
        <v>9</v>
      </c>
    </row>
    <row r="12" customFormat="false" ht="15" hidden="false" customHeight="false" outlineLevel="0" collapsed="false">
      <c r="A12" s="5" t="s">
        <v>10</v>
      </c>
    </row>
    <row r="13" customFormat="false" ht="30" hidden="false" customHeight="true" outlineLevel="0" collapsed="false">
      <c r="A13" s="6" t="s">
        <v>11</v>
      </c>
      <c r="B13" s="6" t="s">
        <v>12</v>
      </c>
      <c r="C13" s="6" t="s">
        <v>13</v>
      </c>
      <c r="D13" s="6" t="s">
        <v>14</v>
      </c>
      <c r="E13" s="6" t="s">
        <v>15</v>
      </c>
    </row>
    <row r="14" customFormat="false" ht="15" hidden="false" customHeight="false" outlineLevel="0" collapsed="false">
      <c r="A14" s="7" t="s">
        <v>16</v>
      </c>
      <c r="B14" s="8" t="s">
        <v>17</v>
      </c>
      <c r="C14" s="8" t="s">
        <v>18</v>
      </c>
      <c r="D14" s="8" t="s">
        <v>19</v>
      </c>
      <c r="E14" s="8" t="s">
        <v>20</v>
      </c>
    </row>
    <row r="15" customFormat="false" ht="15" hidden="false" customHeight="false" outlineLevel="0" collapsed="false">
      <c r="A15" s="7" t="s">
        <v>21</v>
      </c>
      <c r="B15" s="8" t="s">
        <v>17</v>
      </c>
      <c r="C15" s="8" t="s">
        <v>22</v>
      </c>
      <c r="D15" s="8" t="s">
        <v>23</v>
      </c>
      <c r="E15" s="8" t="s">
        <v>20</v>
      </c>
    </row>
    <row r="16" customFormat="false" ht="15" hidden="false" customHeight="false" outlineLevel="0" collapsed="false">
      <c r="A16" s="7" t="s">
        <v>24</v>
      </c>
      <c r="B16" s="8" t="s">
        <v>25</v>
      </c>
      <c r="C16" s="8" t="s">
        <v>26</v>
      </c>
      <c r="D16" s="8" t="s">
        <v>27</v>
      </c>
      <c r="E16" s="8"/>
    </row>
    <row r="17" customFormat="false" ht="15" hidden="false" customHeight="false" outlineLevel="0" collapsed="false">
      <c r="A17" s="7" t="s">
        <v>28</v>
      </c>
      <c r="B17" s="8" t="s">
        <v>29</v>
      </c>
      <c r="C17" s="8" t="s">
        <v>30</v>
      </c>
      <c r="D17" s="8" t="s">
        <v>31</v>
      </c>
      <c r="E17" s="8"/>
    </row>
    <row r="18" customFormat="false" ht="22.35" hidden="false" customHeight="false" outlineLevel="0" collapsed="false">
      <c r="A18" s="7" t="s">
        <v>32</v>
      </c>
      <c r="B18" s="8" t="s">
        <v>33</v>
      </c>
      <c r="C18" s="8" t="s">
        <v>34</v>
      </c>
      <c r="D18" s="8" t="s">
        <v>35</v>
      </c>
      <c r="E18" s="8" t="s">
        <v>20</v>
      </c>
    </row>
    <row r="19" customFormat="false" ht="15" hidden="false" customHeight="false" outlineLevel="0" collapsed="false">
      <c r="A19" s="7" t="s">
        <v>36</v>
      </c>
      <c r="B19" s="8" t="s">
        <v>33</v>
      </c>
      <c r="C19" s="8" t="s">
        <v>37</v>
      </c>
      <c r="D19" s="8" t="s">
        <v>38</v>
      </c>
      <c r="E19" s="8" t="s">
        <v>20</v>
      </c>
    </row>
    <row r="20" customFormat="false" ht="15" hidden="false" customHeight="false" outlineLevel="0" collapsed="false">
      <c r="A20" s="7" t="s">
        <v>39</v>
      </c>
      <c r="B20" s="8" t="s">
        <v>33</v>
      </c>
      <c r="C20" s="8" t="s">
        <v>40</v>
      </c>
      <c r="D20" s="8" t="s">
        <v>41</v>
      </c>
      <c r="E20" s="8"/>
    </row>
    <row r="21" customFormat="false" ht="15" hidden="false" customHeight="false" outlineLevel="0" collapsed="false">
      <c r="A21" s="7" t="s">
        <v>42</v>
      </c>
      <c r="B21" s="8" t="s">
        <v>43</v>
      </c>
      <c r="C21" s="8" t="s">
        <v>44</v>
      </c>
      <c r="D21" s="8" t="s">
        <v>45</v>
      </c>
      <c r="E21" s="8"/>
    </row>
    <row r="22" customFormat="false" ht="15" hidden="false" customHeight="false" outlineLevel="0" collapsed="false">
      <c r="A22" s="7" t="s">
        <v>46</v>
      </c>
      <c r="B22" s="8" t="s">
        <v>43</v>
      </c>
      <c r="C22" s="8" t="s">
        <v>47</v>
      </c>
      <c r="D22" s="8" t="s">
        <v>48</v>
      </c>
      <c r="E22" s="8" t="s">
        <v>20</v>
      </c>
    </row>
    <row r="23" customFormat="false" ht="15" hidden="false" customHeight="false" outlineLevel="0" collapsed="false">
      <c r="A23" s="7" t="s">
        <v>49</v>
      </c>
      <c r="B23" s="8" t="s">
        <v>29</v>
      </c>
      <c r="C23" s="8" t="s">
        <v>50</v>
      </c>
      <c r="D23" s="8" t="s">
        <v>51</v>
      </c>
      <c r="E23" s="8" t="s">
        <v>20</v>
      </c>
    </row>
    <row r="24" customFormat="false" ht="15" hidden="false" customHeight="false" outlineLevel="0" collapsed="false">
      <c r="A24" s="7" t="s">
        <v>52</v>
      </c>
      <c r="B24" s="8" t="s">
        <v>43</v>
      </c>
      <c r="C24" s="8" t="s">
        <v>53</v>
      </c>
      <c r="D24" s="8" t="s">
        <v>54</v>
      </c>
      <c r="E24" s="8"/>
    </row>
    <row r="25" customFormat="false" ht="15" hidden="false" customHeight="false" outlineLevel="0" collapsed="false">
      <c r="A25" s="7" t="s">
        <v>55</v>
      </c>
      <c r="B25" s="8" t="s">
        <v>56</v>
      </c>
      <c r="C25" s="8" t="s">
        <v>57</v>
      </c>
      <c r="D25" s="8" t="s">
        <v>58</v>
      </c>
      <c r="E25" s="8"/>
    </row>
    <row r="26" customFormat="false" ht="15" hidden="false" customHeight="false" outlineLevel="0" collapsed="false">
      <c r="A26" s="7" t="s">
        <v>59</v>
      </c>
      <c r="B26" s="8" t="s">
        <v>60</v>
      </c>
      <c r="C26" s="8" t="s">
        <v>61</v>
      </c>
      <c r="D26" s="8" t="s">
        <v>62</v>
      </c>
      <c r="E26" s="8" t="s">
        <v>20</v>
      </c>
    </row>
    <row r="27" customFormat="false" ht="15" hidden="false" customHeight="false" outlineLevel="0" collapsed="false">
      <c r="A27" s="7" t="s">
        <v>63</v>
      </c>
      <c r="B27" s="8" t="s">
        <v>64</v>
      </c>
      <c r="C27" s="8" t="s">
        <v>65</v>
      </c>
      <c r="D27" s="8" t="s">
        <v>66</v>
      </c>
      <c r="E27" s="8" t="s">
        <v>20</v>
      </c>
    </row>
    <row r="28" customFormat="false" ht="15" hidden="false" customHeight="false" outlineLevel="0" collapsed="false">
      <c r="A28" s="7" t="s">
        <v>67</v>
      </c>
      <c r="B28" s="8" t="s">
        <v>68</v>
      </c>
      <c r="C28" s="8" t="s">
        <v>69</v>
      </c>
      <c r="D28" s="8" t="s">
        <v>70</v>
      </c>
      <c r="E28" s="8" t="s">
        <v>20</v>
      </c>
    </row>
    <row r="29" customFormat="false" ht="15" hidden="false" customHeight="false" outlineLevel="0" collapsed="false">
      <c r="A29" s="7" t="s">
        <v>71</v>
      </c>
      <c r="B29" s="8" t="s">
        <v>72</v>
      </c>
      <c r="C29" s="8" t="s">
        <v>73</v>
      </c>
      <c r="D29" s="8" t="s">
        <v>74</v>
      </c>
      <c r="E29" s="8"/>
    </row>
    <row r="30" customFormat="false" ht="15" hidden="false" customHeight="false" outlineLevel="0" collapsed="false">
      <c r="A30" s="7" t="s">
        <v>75</v>
      </c>
      <c r="B30" s="8" t="s">
        <v>72</v>
      </c>
      <c r="C30" s="8" t="s">
        <v>76</v>
      </c>
      <c r="D30" s="8" t="s">
        <v>77</v>
      </c>
      <c r="E30" s="8" t="s">
        <v>20</v>
      </c>
    </row>
    <row r="31" customFormat="false" ht="15" hidden="false" customHeight="false" outlineLevel="0" collapsed="false">
      <c r="A31" s="7" t="s">
        <v>78</v>
      </c>
      <c r="B31" s="8" t="s">
        <v>72</v>
      </c>
      <c r="C31" s="8" t="s">
        <v>79</v>
      </c>
      <c r="D31" s="8" t="s">
        <v>80</v>
      </c>
      <c r="E31" s="8" t="s">
        <v>20</v>
      </c>
    </row>
    <row r="32" customFormat="false" ht="15" hidden="false" customHeight="false" outlineLevel="0" collapsed="false">
      <c r="A32" s="7" t="s">
        <v>81</v>
      </c>
      <c r="B32" s="8" t="s">
        <v>72</v>
      </c>
      <c r="C32" s="8" t="s">
        <v>82</v>
      </c>
      <c r="D32" s="8" t="s">
        <v>83</v>
      </c>
      <c r="E32" s="8"/>
    </row>
    <row r="33" customFormat="false" ht="15" hidden="false" customHeight="false" outlineLevel="0" collapsed="false">
      <c r="A33" s="7" t="s">
        <v>84</v>
      </c>
      <c r="B33" s="8" t="s">
        <v>85</v>
      </c>
      <c r="C33" s="8" t="s">
        <v>86</v>
      </c>
      <c r="D33" s="8" t="s">
        <v>87</v>
      </c>
      <c r="E33" s="8"/>
    </row>
    <row r="34" customFormat="false" ht="15" hidden="false" customHeight="false" outlineLevel="0" collapsed="false">
      <c r="A34" s="7" t="s">
        <v>88</v>
      </c>
      <c r="B34" s="8" t="s">
        <v>89</v>
      </c>
      <c r="C34" s="8" t="s">
        <v>90</v>
      </c>
      <c r="D34" s="8" t="s">
        <v>91</v>
      </c>
      <c r="E34" s="8"/>
    </row>
    <row r="35" customFormat="false" ht="15" hidden="false" customHeight="false" outlineLevel="0" collapsed="false">
      <c r="A35" s="7" t="s">
        <v>92</v>
      </c>
      <c r="B35" s="8" t="s">
        <v>93</v>
      </c>
      <c r="C35" s="8" t="s">
        <v>94</v>
      </c>
      <c r="D35" s="8" t="s">
        <v>95</v>
      </c>
      <c r="E35" s="8" t="s">
        <v>20</v>
      </c>
    </row>
    <row r="36" customFormat="false" ht="15" hidden="false" customHeight="false" outlineLevel="0" collapsed="false">
      <c r="A36" s="7" t="s">
        <v>96</v>
      </c>
      <c r="B36" s="8" t="s">
        <v>97</v>
      </c>
      <c r="C36" s="8" t="s">
        <v>98</v>
      </c>
      <c r="D36" s="8" t="s">
        <v>99</v>
      </c>
      <c r="E36" s="8" t="s">
        <v>20</v>
      </c>
    </row>
    <row r="37" customFormat="false" ht="15" hidden="false" customHeight="false" outlineLevel="0" collapsed="false">
      <c r="A37" s="7" t="s">
        <v>100</v>
      </c>
      <c r="B37" s="8" t="s">
        <v>101</v>
      </c>
      <c r="C37" s="8" t="s">
        <v>102</v>
      </c>
      <c r="D37" s="8" t="s">
        <v>103</v>
      </c>
      <c r="E37" s="8"/>
    </row>
    <row r="38" customFormat="false" ht="15" hidden="false" customHeight="false" outlineLevel="0" collapsed="false">
      <c r="A38" s="7" t="s">
        <v>104</v>
      </c>
      <c r="B38" s="8" t="s">
        <v>64</v>
      </c>
      <c r="C38" s="8" t="s">
        <v>105</v>
      </c>
      <c r="D38" s="8" t="s">
        <v>106</v>
      </c>
      <c r="E38" s="8"/>
    </row>
    <row r="39" customFormat="false" ht="22.35" hidden="false" customHeight="false" outlineLevel="0" collapsed="false">
      <c r="A39" s="7" t="s">
        <v>107</v>
      </c>
      <c r="B39" s="8" t="s">
        <v>108</v>
      </c>
      <c r="C39" s="8" t="s">
        <v>109</v>
      </c>
      <c r="D39" s="8" t="s">
        <v>110</v>
      </c>
      <c r="E39" s="8" t="s">
        <v>111</v>
      </c>
    </row>
    <row r="40" customFormat="false" ht="15" hidden="false" customHeight="false" outlineLevel="0" collapsed="false">
      <c r="A40" s="7" t="s">
        <v>112</v>
      </c>
      <c r="B40" s="8" t="s">
        <v>113</v>
      </c>
      <c r="C40" s="8" t="s">
        <v>114</v>
      </c>
      <c r="D40" s="8" t="s">
        <v>115</v>
      </c>
      <c r="E40" s="8" t="s">
        <v>20</v>
      </c>
    </row>
    <row r="41" customFormat="false" ht="15" hidden="false" customHeight="false" outlineLevel="0" collapsed="false">
      <c r="A41" s="7" t="s">
        <v>116</v>
      </c>
      <c r="B41" s="8" t="s">
        <v>117</v>
      </c>
      <c r="C41" s="8" t="s">
        <v>118</v>
      </c>
      <c r="D41" s="8" t="s">
        <v>119</v>
      </c>
      <c r="E41" s="8"/>
    </row>
    <row r="42" customFormat="false" ht="15" hidden="false" customHeight="false" outlineLevel="0" collapsed="false">
      <c r="A42" s="7" t="s">
        <v>120</v>
      </c>
      <c r="B42" s="8" t="s">
        <v>121</v>
      </c>
      <c r="C42" s="8" t="s">
        <v>122</v>
      </c>
      <c r="D42" s="8" t="s">
        <v>123</v>
      </c>
      <c r="E42" s="8"/>
    </row>
    <row r="43" customFormat="false" ht="15" hidden="false" customHeight="false" outlineLevel="0" collapsed="false">
      <c r="A43" s="7" t="s">
        <v>124</v>
      </c>
      <c r="B43" s="8" t="s">
        <v>121</v>
      </c>
      <c r="C43" s="8" t="s">
        <v>125</v>
      </c>
      <c r="D43" s="8" t="s">
        <v>126</v>
      </c>
      <c r="E43" s="8"/>
    </row>
    <row r="44" customFormat="false" ht="15" hidden="false" customHeight="false" outlineLevel="0" collapsed="false">
      <c r="A44" s="7" t="s">
        <v>127</v>
      </c>
      <c r="B44" s="8" t="s">
        <v>128</v>
      </c>
      <c r="C44" s="8" t="s">
        <v>129</v>
      </c>
      <c r="D44" s="8" t="s">
        <v>130</v>
      </c>
      <c r="E44" s="8"/>
    </row>
    <row r="46" customFormat="false" ht="15" hidden="false" customHeight="false" outlineLevel="0" collapsed="false">
      <c r="A46" s="9" t="s">
        <v>131</v>
      </c>
    </row>
  </sheetData>
  <hyperlinks>
    <hyperlink ref="A14" location="'A1 Readiness Scoring'!A1" display="A1 Readiness Scoring"/>
    <hyperlink ref="A15" location="'A2 Baseline KPIs'!A1" display="A2 Baseline KPIs"/>
    <hyperlink ref="A16" location="'A4 Workforce Matrix'!A1" display="A4 Workforce Matrix"/>
    <hyperlink ref="A17" location="'M1 Comms Scoring'!A1" display="M1 Comms Scoring"/>
    <hyperlink ref="A18" location="'M2 Business Case'!A1" display="M2 Business Case"/>
    <hyperlink ref="A19" location="'M3 Assumptions'!A1" display="M3 Assumptions"/>
    <hyperlink ref="A20" location="'M4 Benefit Mapping'!A1" display="M4 Benefit Mapping"/>
    <hyperlink ref="A21" location="'M5 Requirements Compliance'!A1" display="M5 Requirements Compliance"/>
    <hyperlink ref="A22" location="'P1 Pilot KPI Tracker'!A1" display="P1 Pilot KPI Tracker"/>
    <hyperlink ref="A23" location="'P2 Site &amp; Sampling'!A1" display="P2 Site &amp; Sampling"/>
    <hyperlink ref="A24" location="'P3 Pilot Budget'!A1" display="P3 Pilot Budget"/>
    <hyperlink ref="A25" location="'P4 Program Plan'!A1" display="P4 Program Plan"/>
    <hyperlink ref="A26" location="'P5 Acceptance Tests'!A1" display="P5 Acceptance Tests"/>
    <hyperlink ref="A27" location="'P6 Defect Log'!A1" display="P6 Defect Log"/>
    <hyperlink ref="A28" location="'P7 Analysis &amp; Amendments'!A1" display="P7 Analysis &amp; Amendments"/>
    <hyperlink ref="A29" location="'W1 Risk Register'!A1" display="W1 Risk Register"/>
    <hyperlink ref="A30" location="'W1 Gate Log'!A1" display="W1 Gate Log"/>
    <hyperlink ref="A31" location="'W1 Tailoring &amp; Deviations'!A1" display="W1 Tailoring &amp; Deviations"/>
    <hyperlink ref="A32" location="'W1 Document Register'!A1" display="W1 Document Register"/>
    <hyperlink ref="A33" location="'W1 Change Log'!A1" display="W1 Change Log"/>
    <hyperlink ref="A34" location="'W1 Stakeholder Plan'!A1" display="W1 Stakeholder Plan"/>
    <hyperlink ref="A35" location="'W2 Cyber &amp; Privacy'!A1" display="W2 Cyber &amp; Privacy"/>
    <hyperlink ref="A36" location="'W3 Complaint Log'!A1" display="W3 Complaint Log"/>
    <hyperlink ref="A37" location="'W3 Consumer Education'!A1" display="W3 Consumer Education"/>
    <hyperlink ref="A38" location="'K Reporting Cadence'!A1" display="K Reporting Cadence"/>
    <hyperlink ref="A39" location="'K2 Sector Submission'!A1" display="K2 Sector Submission"/>
    <hyperlink ref="A40" location="'R Rollout Cohorts'!A1" display="R Rollout Cohorts"/>
    <hyperlink ref="A41" location="'R Meter Logistics'!A1" display="R Meter Logistics"/>
    <hyperlink ref="A42" location="'R Benefits Tracker'!A1" display="R Benefits Tracker"/>
    <hyperlink ref="A43" location="'E2 Failure Tracking'!A1" display="E2 Failure Tracking"/>
    <hyperlink ref="A44" location="'Regulatory Register'!A1" display="Regulatory Register"/>
  </hyperlink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K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5" topLeftCell="B6" activePane="bottomRight" state="frozen"/>
      <selection pane="topLeft" activeCell="A1" activeCellId="0" sqref="A1"/>
      <selection pane="topRight" activeCell="B1" activeCellId="0" sqref="B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30"/>
    <col collapsed="false" customWidth="true" hidden="false" outlineLevel="0" max="2" min="2" style="0" width="12"/>
    <col collapsed="false" customWidth="true" hidden="false" outlineLevel="0" max="3" min="3" style="0" width="34"/>
    <col collapsed="false" customWidth="true" hidden="false" outlineLevel="0" max="5" min="4" style="0" width="26"/>
    <col collapsed="false" customWidth="true" hidden="false" outlineLevel="0" max="6" min="6" style="0" width="14"/>
    <col collapsed="false" customWidth="true" hidden="false" outlineLevel="0" max="7" min="7" style="0" width="12"/>
    <col collapsed="false" customWidth="true" hidden="false" outlineLevel="0" max="9" min="8" style="0" width="24"/>
    <col collapsed="false" customWidth="true" hidden="false" outlineLevel="0" max="11" min="10" style="0" width="28"/>
  </cols>
  <sheetData>
    <row r="1" customFormat="false" ht="17.35" hidden="false" customHeight="false" outlineLevel="0" collapsed="false">
      <c r="A1" s="10" t="s">
        <v>132</v>
      </c>
    </row>
    <row r="2" customFormat="false" ht="15" hidden="false" customHeight="false" outlineLevel="0" collapsed="false">
      <c r="A2" s="11" t="s">
        <v>133</v>
      </c>
    </row>
    <row r="3" customFormat="false" ht="15" hidden="false" customHeight="false" outlineLevel="0" collapsed="false">
      <c r="A3" s="9" t="s">
        <v>134</v>
      </c>
    </row>
    <row r="5" customFormat="false" ht="30" hidden="false" customHeight="true" outlineLevel="0" collapsed="false">
      <c r="A5" s="6" t="s">
        <v>135</v>
      </c>
      <c r="B5" s="6" t="s">
        <v>136</v>
      </c>
      <c r="C5" s="6" t="s">
        <v>137</v>
      </c>
      <c r="D5" s="6" t="s">
        <v>138</v>
      </c>
      <c r="E5" s="6" t="s">
        <v>139</v>
      </c>
      <c r="F5" s="6" t="s">
        <v>140</v>
      </c>
      <c r="G5" s="6" t="s">
        <v>141</v>
      </c>
      <c r="H5" s="6" t="s">
        <v>142</v>
      </c>
      <c r="I5" s="6" t="s">
        <v>143</v>
      </c>
      <c r="J5" s="6" t="s">
        <v>144</v>
      </c>
      <c r="K5" s="6" t="s">
        <v>145</v>
      </c>
    </row>
    <row r="6" customFormat="false" ht="32.8" hidden="false" customHeight="false" outlineLevel="0" collapsed="false">
      <c r="A6" s="12" t="s">
        <v>146</v>
      </c>
      <c r="B6" s="13"/>
      <c r="C6" s="13"/>
      <c r="D6" s="13"/>
      <c r="E6" s="13"/>
      <c r="F6" s="13"/>
      <c r="G6" s="14"/>
      <c r="H6" s="15" t="s">
        <v>147</v>
      </c>
      <c r="I6" s="15" t="s">
        <v>148</v>
      </c>
      <c r="J6" s="15" t="s">
        <v>149</v>
      </c>
      <c r="K6" s="15" t="s">
        <v>150</v>
      </c>
    </row>
    <row r="7" customFormat="false" ht="22.35" hidden="false" customHeight="false" outlineLevel="0" collapsed="false">
      <c r="A7" s="12" t="s">
        <v>151</v>
      </c>
      <c r="B7" s="13"/>
      <c r="C7" s="13"/>
      <c r="D7" s="13"/>
      <c r="E7" s="13"/>
      <c r="F7" s="13"/>
      <c r="G7" s="14"/>
      <c r="H7" s="15" t="s">
        <v>152</v>
      </c>
      <c r="I7" s="15" t="s">
        <v>153</v>
      </c>
      <c r="J7" s="15" t="s">
        <v>154</v>
      </c>
      <c r="K7" s="15" t="s">
        <v>155</v>
      </c>
    </row>
    <row r="8" customFormat="false" ht="32.8" hidden="false" customHeight="false" outlineLevel="0" collapsed="false">
      <c r="A8" s="12" t="s">
        <v>156</v>
      </c>
      <c r="B8" s="13"/>
      <c r="C8" s="13"/>
      <c r="D8" s="13"/>
      <c r="E8" s="13"/>
      <c r="F8" s="13"/>
      <c r="G8" s="14"/>
      <c r="H8" s="15" t="s">
        <v>157</v>
      </c>
      <c r="I8" s="15" t="s">
        <v>158</v>
      </c>
      <c r="J8" s="15" t="s">
        <v>159</v>
      </c>
      <c r="K8" s="15" t="s">
        <v>160</v>
      </c>
    </row>
    <row r="9" customFormat="false" ht="22.35" hidden="false" customHeight="false" outlineLevel="0" collapsed="false">
      <c r="A9" s="12" t="s">
        <v>161</v>
      </c>
      <c r="B9" s="13"/>
      <c r="C9" s="13"/>
      <c r="D9" s="13"/>
      <c r="E9" s="13"/>
      <c r="F9" s="13"/>
      <c r="G9" s="14"/>
      <c r="H9" s="15" t="s">
        <v>162</v>
      </c>
      <c r="I9" s="15" t="s">
        <v>163</v>
      </c>
      <c r="J9" s="15" t="s">
        <v>164</v>
      </c>
      <c r="K9" s="15" t="s">
        <v>165</v>
      </c>
    </row>
    <row r="10" customFormat="false" ht="22.35" hidden="false" customHeight="false" outlineLevel="0" collapsed="false">
      <c r="A10" s="12" t="s">
        <v>166</v>
      </c>
      <c r="B10" s="13"/>
      <c r="C10" s="13"/>
      <c r="D10" s="13"/>
      <c r="E10" s="13"/>
      <c r="F10" s="13"/>
      <c r="G10" s="14"/>
      <c r="H10" s="15" t="s">
        <v>167</v>
      </c>
      <c r="I10" s="15" t="s">
        <v>168</v>
      </c>
      <c r="J10" s="15" t="s">
        <v>169</v>
      </c>
      <c r="K10" s="15" t="s">
        <v>170</v>
      </c>
    </row>
    <row r="11" customFormat="false" ht="22.35" hidden="false" customHeight="false" outlineLevel="0" collapsed="false">
      <c r="A11" s="12" t="s">
        <v>171</v>
      </c>
      <c r="B11" s="13"/>
      <c r="C11" s="13"/>
      <c r="D11" s="13"/>
      <c r="E11" s="13"/>
      <c r="F11" s="13"/>
      <c r="G11" s="14"/>
      <c r="H11" s="15" t="s">
        <v>172</v>
      </c>
      <c r="I11" s="15" t="s">
        <v>173</v>
      </c>
      <c r="J11" s="15" t="s">
        <v>174</v>
      </c>
      <c r="K11" s="15" t="s">
        <v>175</v>
      </c>
    </row>
    <row r="12" customFormat="false" ht="22.35" hidden="false" customHeight="false" outlineLevel="0" collapsed="false">
      <c r="A12" s="12" t="s">
        <v>176</v>
      </c>
      <c r="B12" s="13"/>
      <c r="C12" s="13"/>
      <c r="D12" s="13"/>
      <c r="E12" s="13"/>
      <c r="F12" s="13"/>
      <c r="G12" s="14"/>
      <c r="H12" s="15" t="s">
        <v>177</v>
      </c>
      <c r="I12" s="15" t="s">
        <v>178</v>
      </c>
      <c r="J12" s="15" t="s">
        <v>179</v>
      </c>
      <c r="K12" s="15" t="s">
        <v>180</v>
      </c>
    </row>
    <row r="13" customFormat="false" ht="22.35" hidden="false" customHeight="false" outlineLevel="0" collapsed="false">
      <c r="A13" s="12" t="s">
        <v>181</v>
      </c>
      <c r="B13" s="13"/>
      <c r="C13" s="13"/>
      <c r="D13" s="13"/>
      <c r="E13" s="13"/>
      <c r="F13" s="13"/>
      <c r="G13" s="14"/>
      <c r="H13" s="15" t="s">
        <v>182</v>
      </c>
      <c r="I13" s="15" t="s">
        <v>183</v>
      </c>
      <c r="J13" s="15" t="s">
        <v>184</v>
      </c>
      <c r="K13" s="15" t="s">
        <v>185</v>
      </c>
    </row>
    <row r="15" customFormat="false" ht="22.35" hidden="false" customHeight="false" outlineLevel="0" collapsed="false">
      <c r="A15" s="16" t="s">
        <v>186</v>
      </c>
    </row>
    <row r="16" customFormat="false" ht="30" hidden="false" customHeight="true" outlineLevel="0" collapsed="false">
      <c r="A16" s="6" t="s">
        <v>187</v>
      </c>
      <c r="B16" s="6" t="s">
        <v>188</v>
      </c>
      <c r="C16" s="6" t="s">
        <v>189</v>
      </c>
    </row>
    <row r="17" customFormat="false" ht="22.35" hidden="false" customHeight="false" outlineLevel="0" collapsed="false">
      <c r="A17" s="8" t="s">
        <v>190</v>
      </c>
      <c r="B17" s="13"/>
      <c r="C17" s="13"/>
    </row>
    <row r="18" customFormat="false" ht="15" hidden="false" customHeight="false" outlineLevel="0" collapsed="false">
      <c r="A18" s="8" t="s">
        <v>191</v>
      </c>
      <c r="B18" s="13"/>
      <c r="C18" s="13"/>
    </row>
    <row r="19" customFormat="false" ht="22.35" hidden="false" customHeight="false" outlineLevel="0" collapsed="false">
      <c r="A19" s="8" t="s">
        <v>192</v>
      </c>
      <c r="B19" s="13"/>
      <c r="C19" s="13"/>
    </row>
    <row r="20" customFormat="false" ht="22.35" hidden="false" customHeight="false" outlineLevel="0" collapsed="false">
      <c r="A20" s="8" t="s">
        <v>193</v>
      </c>
      <c r="B20" s="13"/>
      <c r="C20" s="13"/>
    </row>
    <row r="21" customFormat="false" ht="22.35" hidden="false" customHeight="false" outlineLevel="0" collapsed="false">
      <c r="A21" s="8" t="s">
        <v>194</v>
      </c>
      <c r="B21" s="13"/>
      <c r="C21" s="13"/>
    </row>
    <row r="23" customFormat="false" ht="15" hidden="false" customHeight="false" outlineLevel="0" collapsed="false">
      <c r="A23" s="16" t="s">
        <v>195</v>
      </c>
    </row>
    <row r="24" customFormat="false" ht="30" hidden="false" customHeight="true" outlineLevel="0" collapsed="false">
      <c r="A24" s="6" t="s">
        <v>196</v>
      </c>
      <c r="B24" s="6" t="s">
        <v>197</v>
      </c>
      <c r="C24" s="6" t="s">
        <v>198</v>
      </c>
    </row>
    <row r="25" customFormat="false" ht="15" hidden="false" customHeight="false" outlineLevel="0" collapsed="false">
      <c r="A25" s="12" t="s">
        <v>199</v>
      </c>
      <c r="B25" s="17" t="str">
        <f aca="false">COUNT(B6:B13)&amp;" of 8"</f>
        <v>0 of 8</v>
      </c>
      <c r="C25" s="18" t="s">
        <v>200</v>
      </c>
    </row>
    <row r="26" customFormat="false" ht="15" hidden="false" customHeight="false" outlineLevel="0" collapsed="false">
      <c r="A26" s="12" t="s">
        <v>201</v>
      </c>
      <c r="B26" s="17" t="str">
        <f aca="false">IF(COUNT(B6:B13)=0,"",MIN(B6:B13))</f>
        <v/>
      </c>
      <c r="C26" s="18" t="s">
        <v>202</v>
      </c>
    </row>
    <row r="27" customFormat="false" ht="15" hidden="false" customHeight="false" outlineLevel="0" collapsed="false">
      <c r="A27" s="12" t="s">
        <v>203</v>
      </c>
      <c r="B27" s="17" t="str">
        <f aca="false">IF(COUNTIF(B17:B21,"N")&gt;0,"NO: knockout present",IF(COUNTA(B17:B21)&lt;5,"Incomplete","Yes"))</f>
        <v>Incomplete</v>
      </c>
      <c r="C27" s="18" t="s">
        <v>204</v>
      </c>
    </row>
    <row r="28" customFormat="false" ht="15" hidden="false" customHeight="false" outlineLevel="0" collapsed="false">
      <c r="A28" s="12" t="s">
        <v>205</v>
      </c>
      <c r="B28" s="17" t="str">
        <f aca="false">IF(OR(COUNT(B6:B13)&lt;8,COUNTA(B17:B21)&lt;5),"INCOMPLETE",IF(AND(COUNTIF(B17:B21,"N")=0,MIN(B6:B13)&gt;=2),"CRITERIA MET","NOT MET"))</f>
        <v>INCOMPLETE</v>
      </c>
      <c r="C28" s="18" t="s">
        <v>206</v>
      </c>
    </row>
    <row r="29" customFormat="false" ht="32.8" hidden="false" customHeight="false" outlineLevel="0" collapsed="false">
      <c r="A29" s="12" t="s">
        <v>207</v>
      </c>
      <c r="B29" s="17" t="str">
        <f aca="false">IF(COUNT(B6:B13)&lt;8,"INCOMPLETE",IF(AND(MIN(B6:B13)&gt;=2,B6&gt;=3,B10&gt;=3,B11&gt;=3,B12&gt;=3,B13&gt;=3),"CRITERIA MET","NOT MET"))</f>
        <v>INCOMPLETE</v>
      </c>
      <c r="C29" s="18" t="s">
        <v>208</v>
      </c>
    </row>
    <row r="30" customFormat="false" ht="22.35" hidden="false" customHeight="false" outlineLevel="0" collapsed="false">
      <c r="A30" s="12" t="s">
        <v>209</v>
      </c>
      <c r="B30" s="17" t="str">
        <f aca="false">IF(COUNT(B6:B13)&lt;8,"INCOMPLETE",IF(MIN(B6:B13)&gt;=3,"CRITERIA MET","NOT MET"))</f>
        <v>INCOMPLETE</v>
      </c>
      <c r="C30" s="18" t="s">
        <v>210</v>
      </c>
    </row>
    <row r="31" customFormat="false" ht="15" hidden="false" customHeight="false" outlineLevel="0" collapsed="false">
      <c r="A31" s="12" t="s">
        <v>211</v>
      </c>
      <c r="B31" s="17" t="str">
        <f aca="false">IF(COUNT(B6:B13)=0,"",ROUND(AVERAGE(B6:B13),1))</f>
        <v/>
      </c>
      <c r="C31" s="18" t="s">
        <v>212</v>
      </c>
    </row>
    <row r="34" customFormat="false" ht="32.8" hidden="false" customHeight="false" outlineLevel="0" collapsed="false">
      <c r="A34" s="16" t="s">
        <v>213</v>
      </c>
    </row>
    <row r="35" customFormat="false" ht="30" hidden="false" customHeight="true" outlineLevel="0" collapsed="false">
      <c r="A35" s="6" t="s">
        <v>214</v>
      </c>
      <c r="B35" s="6" t="s">
        <v>215</v>
      </c>
      <c r="C35" s="6" t="s">
        <v>216</v>
      </c>
      <c r="D35" s="6" t="s">
        <v>217</v>
      </c>
      <c r="E35" s="6" t="s">
        <v>218</v>
      </c>
      <c r="F35" s="6" t="s">
        <v>219</v>
      </c>
      <c r="G35" s="6"/>
      <c r="H35" s="6" t="s">
        <v>220</v>
      </c>
      <c r="I35" s="6" t="s">
        <v>221</v>
      </c>
      <c r="J35" s="6" t="s">
        <v>222</v>
      </c>
      <c r="K35" s="6" t="s">
        <v>223</v>
      </c>
    </row>
    <row r="36" customFormat="false" ht="22.35" hidden="false" customHeight="false" outlineLevel="0" collapsed="false">
      <c r="A36" s="12" t="s">
        <v>224</v>
      </c>
      <c r="B36" s="13"/>
      <c r="C36" s="13"/>
      <c r="D36" s="8" t="str">
        <f aca="false">IF(OR(B36="",C36=""),"",MAX(0,C36-B36))</f>
        <v/>
      </c>
      <c r="E36" s="13"/>
      <c r="F36" s="13"/>
      <c r="H36" s="15" t="s">
        <v>225</v>
      </c>
      <c r="I36" s="15" t="s">
        <v>226</v>
      </c>
      <c r="J36" s="15" t="s">
        <v>227</v>
      </c>
      <c r="K36" s="15" t="s">
        <v>228</v>
      </c>
    </row>
    <row r="37" customFormat="false" ht="22.35" hidden="false" customHeight="false" outlineLevel="0" collapsed="false">
      <c r="A37" s="12" t="s">
        <v>229</v>
      </c>
      <c r="B37" s="13"/>
      <c r="C37" s="13"/>
      <c r="D37" s="8" t="str">
        <f aca="false">IF(OR(B37="",C37=""),"",MAX(0,C37-B37))</f>
        <v/>
      </c>
      <c r="E37" s="13"/>
      <c r="F37" s="13"/>
      <c r="H37" s="15" t="s">
        <v>230</v>
      </c>
      <c r="I37" s="15" t="s">
        <v>231</v>
      </c>
      <c r="J37" s="15" t="s">
        <v>232</v>
      </c>
      <c r="K37" s="15" t="s">
        <v>233</v>
      </c>
    </row>
    <row r="38" customFormat="false" ht="22.35" hidden="false" customHeight="false" outlineLevel="0" collapsed="false">
      <c r="A38" s="12" t="s">
        <v>234</v>
      </c>
      <c r="B38" s="13"/>
      <c r="C38" s="13"/>
      <c r="D38" s="8" t="str">
        <f aca="false">IF(OR(B38="",C38=""),"",MAX(0,C38-B38))</f>
        <v/>
      </c>
      <c r="E38" s="13"/>
      <c r="F38" s="13"/>
      <c r="H38" s="15" t="s">
        <v>235</v>
      </c>
      <c r="I38" s="15" t="s">
        <v>236</v>
      </c>
      <c r="J38" s="15" t="s">
        <v>237</v>
      </c>
      <c r="K38" s="15" t="s">
        <v>238</v>
      </c>
    </row>
    <row r="39" customFormat="false" ht="22.35" hidden="false" customHeight="false" outlineLevel="0" collapsed="false">
      <c r="A39" s="12" t="s">
        <v>239</v>
      </c>
      <c r="B39" s="13"/>
      <c r="C39" s="13"/>
      <c r="D39" s="8" t="str">
        <f aca="false">IF(OR(B39="",C39=""),"",MAX(0,C39-B39))</f>
        <v/>
      </c>
      <c r="E39" s="13"/>
      <c r="F39" s="13"/>
      <c r="H39" s="15" t="s">
        <v>240</v>
      </c>
      <c r="I39" s="15" t="s">
        <v>241</v>
      </c>
      <c r="J39" s="15" t="s">
        <v>242</v>
      </c>
      <c r="K39" s="15" t="s">
        <v>243</v>
      </c>
    </row>
    <row r="40" customFormat="false" ht="22.35" hidden="false" customHeight="false" outlineLevel="0" collapsed="false">
      <c r="A40" s="12" t="s">
        <v>244</v>
      </c>
      <c r="B40" s="13"/>
      <c r="C40" s="13"/>
      <c r="D40" s="8" t="str">
        <f aca="false">IF(OR(B40="",C40=""),"",MAX(0,C40-B40))</f>
        <v/>
      </c>
      <c r="E40" s="13"/>
      <c r="F40" s="13"/>
      <c r="H40" s="15" t="s">
        <v>245</v>
      </c>
      <c r="I40" s="15" t="s">
        <v>246</v>
      </c>
      <c r="J40" s="15" t="s">
        <v>247</v>
      </c>
      <c r="K40" s="15" t="s">
        <v>248</v>
      </c>
    </row>
    <row r="41" customFormat="false" ht="22.35" hidden="false" customHeight="false" outlineLevel="0" collapsed="false">
      <c r="A41" s="12" t="s">
        <v>249</v>
      </c>
      <c r="B41" s="13"/>
      <c r="C41" s="13"/>
      <c r="D41" s="8" t="str">
        <f aca="false">IF(OR(B41="",C41=""),"",MAX(0,C41-B41))</f>
        <v/>
      </c>
      <c r="E41" s="13"/>
      <c r="F41" s="13"/>
      <c r="H41" s="15" t="s">
        <v>250</v>
      </c>
      <c r="I41" s="15" t="s">
        <v>251</v>
      </c>
      <c r="J41" s="15" t="s">
        <v>252</v>
      </c>
      <c r="K41" s="15" t="s">
        <v>253</v>
      </c>
    </row>
  </sheetData>
  <dataValidations count="4">
    <dataValidation allowBlank="true" errorStyle="stop" operator="between" showDropDown="false" showErrorMessage="false" showInputMessage="false" sqref="B6:B13 B36:C41" type="whole">
      <formula1>1</formula1>
      <formula2>4</formula2>
    </dataValidation>
    <dataValidation allowBlank="true" errorStyle="stop" operator="between" showDropDown="false" showErrorMessage="false" showInputMessage="false" sqref="B17:B21" type="list">
      <formula1>"Y,N"</formula1>
      <formula2>0</formula2>
    </dataValidation>
    <dataValidation allowBlank="true" errorStyle="stop" operator="between" showDropDown="false" showErrorMessage="false" showInputMessage="false" sqref="E36:E41" type="list">
      <formula1>"H,M,L"</formula1>
      <formula2>0</formula2>
    </dataValidation>
    <dataValidation type="date" operator="greaterThanOrEqual" allowBlank="true" showDropDown="false" showInputMessage="true" showErrorMessage="true" errorTitle="Enter a date" error="Enter a real date (yyyy-mm-dd), not text. Formulas that use this date fail silently on text." sqref="G6:G15">
      <formula1>1</formula1>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J1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5" topLeftCell="B6" activePane="bottomRight" state="frozen"/>
      <selection pane="topLeft" activeCell="A1" activeCellId="0" sqref="A1"/>
      <selection pane="topRight" activeCell="B1" activeCellId="0" sqref="B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30"/>
    <col collapsed="false" customWidth="true" hidden="false" outlineLevel="0" max="2" min="2" style="0" width="46"/>
    <col collapsed="false" customWidth="true" hidden="false" outlineLevel="0" max="4" min="3" style="0" width="14"/>
    <col collapsed="false" customWidth="true" hidden="false" outlineLevel="0" max="5" min="5" style="0" width="12"/>
    <col collapsed="false" customWidth="true" hidden="false" outlineLevel="0" max="6" min="6" style="0" width="10"/>
    <col collapsed="false" customWidth="true" hidden="false" outlineLevel="0" max="7" min="7" style="0" width="16"/>
    <col collapsed="false" customWidth="true" hidden="false" outlineLevel="0" max="8" min="8" style="0" width="20"/>
    <col collapsed="false" customWidth="true" hidden="false" outlineLevel="0" max="9" min="9" style="0" width="26"/>
    <col collapsed="false" customWidth="true" hidden="false" outlineLevel="0" max="10" min="10" style="0" width="14"/>
  </cols>
  <sheetData>
    <row r="1" customFormat="false" ht="17.35" hidden="false" customHeight="false" outlineLevel="0" collapsed="false">
      <c r="A1" s="10" t="s">
        <v>254</v>
      </c>
    </row>
    <row r="2" customFormat="false" ht="15" hidden="false" customHeight="false" outlineLevel="0" collapsed="false">
      <c r="A2" s="11" t="s">
        <v>255</v>
      </c>
    </row>
    <row r="3" customFormat="false" ht="15" hidden="false" customHeight="false" outlineLevel="0" collapsed="false">
      <c r="A3" s="9" t="s">
        <v>134</v>
      </c>
    </row>
    <row r="5" customFormat="false" ht="30" hidden="false" customHeight="true" outlineLevel="0" collapsed="false">
      <c r="A5" s="6" t="s">
        <v>256</v>
      </c>
      <c r="B5" s="6" t="s">
        <v>257</v>
      </c>
      <c r="C5" s="6" t="s">
        <v>258</v>
      </c>
      <c r="D5" s="6" t="s">
        <v>259</v>
      </c>
      <c r="E5" s="6" t="s">
        <v>197</v>
      </c>
      <c r="F5" s="6" t="s">
        <v>260</v>
      </c>
      <c r="G5" s="6" t="s">
        <v>261</v>
      </c>
      <c r="H5" s="6" t="s">
        <v>262</v>
      </c>
      <c r="I5" s="6" t="s">
        <v>263</v>
      </c>
      <c r="J5" s="6" t="s">
        <v>264</v>
      </c>
    </row>
    <row r="6" customFormat="false" ht="32.8" hidden="false" customHeight="false" outlineLevel="0" collapsed="false">
      <c r="A6" s="12" t="s">
        <v>265</v>
      </c>
      <c r="B6" s="8" t="s">
        <v>266</v>
      </c>
      <c r="C6" s="19"/>
      <c r="D6" s="19"/>
      <c r="E6" s="20" t="str">
        <f aca="false">IF(OR(C6="",D6="",D6=0),"",C6/D6)</f>
        <v/>
      </c>
      <c r="F6" s="8" t="s">
        <v>267</v>
      </c>
      <c r="G6" s="13"/>
      <c r="H6" s="13"/>
      <c r="I6" s="13"/>
      <c r="J6" s="8" t="s">
        <v>268</v>
      </c>
    </row>
    <row r="7" customFormat="false" ht="22.35" hidden="false" customHeight="false" outlineLevel="0" collapsed="false">
      <c r="A7" s="12" t="s">
        <v>269</v>
      </c>
      <c r="B7" s="8" t="s">
        <v>270</v>
      </c>
      <c r="C7" s="19"/>
      <c r="D7" s="19"/>
      <c r="E7" s="20" t="str">
        <f aca="false">IF(OR(C7="",D7="",D7=0),"",C7/D7)</f>
        <v/>
      </c>
      <c r="F7" s="8" t="s">
        <v>267</v>
      </c>
      <c r="G7" s="13"/>
      <c r="H7" s="13"/>
      <c r="I7" s="13"/>
      <c r="J7" s="8" t="s">
        <v>268</v>
      </c>
    </row>
    <row r="8" customFormat="false" ht="22.35" hidden="false" customHeight="false" outlineLevel="0" collapsed="false">
      <c r="A8" s="12" t="s">
        <v>271</v>
      </c>
      <c r="B8" s="8" t="s">
        <v>272</v>
      </c>
      <c r="C8" s="19"/>
      <c r="D8" s="19"/>
      <c r="E8" s="20" t="str">
        <f aca="false">IF(OR(C8="",D8="",D8=0),"",C8/D8)</f>
        <v/>
      </c>
      <c r="F8" s="8" t="s">
        <v>267</v>
      </c>
      <c r="G8" s="13"/>
      <c r="H8" s="13"/>
      <c r="I8" s="13"/>
      <c r="J8" s="8" t="s">
        <v>268</v>
      </c>
    </row>
    <row r="9" customFormat="false" ht="22.35" hidden="false" customHeight="false" outlineLevel="0" collapsed="false">
      <c r="A9" s="12" t="s">
        <v>273</v>
      </c>
      <c r="B9" s="8" t="s">
        <v>274</v>
      </c>
      <c r="C9" s="19"/>
      <c r="D9" s="19"/>
      <c r="E9" s="20" t="str">
        <f aca="false">IF(OR(C9="",D9="",D9=0),"",C9/D9)</f>
        <v/>
      </c>
      <c r="F9" s="8" t="s">
        <v>267</v>
      </c>
      <c r="G9" s="13"/>
      <c r="H9" s="13"/>
      <c r="I9" s="13"/>
      <c r="J9" s="8" t="s">
        <v>268</v>
      </c>
    </row>
    <row r="10" customFormat="false" ht="43.25" hidden="false" customHeight="false" outlineLevel="0" collapsed="false">
      <c r="A10" s="12" t="s">
        <v>275</v>
      </c>
      <c r="B10" s="8" t="s">
        <v>276</v>
      </c>
      <c r="C10" s="19"/>
      <c r="D10" s="19"/>
      <c r="E10" s="20" t="str">
        <f aca="false">IF(OR(C10="",D10="",D10=0),"",C10/D10)</f>
        <v/>
      </c>
      <c r="F10" s="8" t="s">
        <v>267</v>
      </c>
      <c r="G10" s="13"/>
      <c r="H10" s="13"/>
      <c r="I10" s="13"/>
      <c r="J10" s="8" t="s">
        <v>277</v>
      </c>
    </row>
    <row r="11" customFormat="false" ht="15" hidden="false" customHeight="false" outlineLevel="0" collapsed="false">
      <c r="A11" s="12" t="s">
        <v>278</v>
      </c>
      <c r="B11" s="8" t="s">
        <v>279</v>
      </c>
      <c r="C11" s="19"/>
      <c r="D11" s="19"/>
      <c r="E11" s="21" t="str">
        <f aca="false">IF(OR(C11="",D11="",D11=0),"",C11/D11)</f>
        <v/>
      </c>
      <c r="F11" s="8" t="s">
        <v>280</v>
      </c>
      <c r="G11" s="13"/>
      <c r="H11" s="13"/>
      <c r="I11" s="13"/>
      <c r="J11" s="8" t="s">
        <v>268</v>
      </c>
    </row>
    <row r="12" customFormat="false" ht="22.35" hidden="false" customHeight="false" outlineLevel="0" collapsed="false">
      <c r="A12" s="12" t="s">
        <v>281</v>
      </c>
      <c r="B12" s="8" t="s">
        <v>282</v>
      </c>
      <c r="C12" s="19"/>
      <c r="D12" s="19"/>
      <c r="E12" s="22" t="str">
        <f aca="false">IF(OR(C12="",D12="",D12=0),"",C12/D12*1000)</f>
        <v/>
      </c>
      <c r="F12" s="8" t="s">
        <v>283</v>
      </c>
      <c r="G12" s="13"/>
      <c r="H12" s="13"/>
      <c r="I12" s="13"/>
      <c r="J12" s="8" t="s">
        <v>268</v>
      </c>
    </row>
    <row r="13" customFormat="false" ht="22.35" hidden="false" customHeight="false" outlineLevel="0" collapsed="false">
      <c r="A13" s="12" t="s">
        <v>284</v>
      </c>
      <c r="B13" s="8" t="s">
        <v>285</v>
      </c>
      <c r="C13" s="19"/>
      <c r="D13" s="19"/>
      <c r="E13" s="23" t="str">
        <f aca="false">IF(C13="","",C13)</f>
        <v/>
      </c>
      <c r="F13" s="8" t="s">
        <v>286</v>
      </c>
      <c r="G13" s="13"/>
      <c r="H13" s="13"/>
      <c r="I13" s="13"/>
      <c r="J13" s="8" t="s">
        <v>268</v>
      </c>
    </row>
    <row r="14" customFormat="false" ht="32.8" hidden="false" customHeight="false" outlineLevel="0" collapsed="false">
      <c r="A14" s="12" t="s">
        <v>287</v>
      </c>
      <c r="B14" s="8" t="s">
        <v>288</v>
      </c>
      <c r="C14" s="19"/>
      <c r="D14" s="19"/>
      <c r="E14" s="21" t="str">
        <f aca="false">IF(OR(C14="",D14="",D14=0),"",C14/D14)</f>
        <v/>
      </c>
      <c r="F14" s="8" t="s">
        <v>280</v>
      </c>
      <c r="G14" s="13"/>
      <c r="H14" s="13"/>
      <c r="I14" s="13"/>
      <c r="J14" s="8" t="s">
        <v>289</v>
      </c>
    </row>
    <row r="15" customFormat="false" ht="22.35" hidden="false" customHeight="false" outlineLevel="0" collapsed="false">
      <c r="A15" s="12" t="s">
        <v>290</v>
      </c>
      <c r="B15" s="8" t="s">
        <v>291</v>
      </c>
      <c r="C15" s="19"/>
      <c r="D15" s="19"/>
      <c r="E15" s="23" t="str">
        <f aca="false">IF(C15="","",C15)</f>
        <v/>
      </c>
      <c r="F15" s="8" t="s">
        <v>286</v>
      </c>
      <c r="G15" s="13"/>
      <c r="H15" s="13"/>
      <c r="I15" s="13"/>
      <c r="J15" s="8" t="s">
        <v>289</v>
      </c>
    </row>
    <row r="16" customFormat="false" ht="22.35" hidden="false" customHeight="false" outlineLevel="0" collapsed="false">
      <c r="A16" s="12" t="s">
        <v>292</v>
      </c>
      <c r="B16" s="8" t="s">
        <v>293</v>
      </c>
      <c r="C16" s="19"/>
      <c r="D16" s="19"/>
      <c r="E16" s="20" t="str">
        <f aca="false">IF(OR(C16="",D16="",D16=0),"",C16/D16)</f>
        <v/>
      </c>
      <c r="F16" s="8" t="s">
        <v>267</v>
      </c>
      <c r="G16" s="13"/>
      <c r="H16" s="13"/>
      <c r="I16" s="13"/>
      <c r="J16" s="8" t="s">
        <v>294</v>
      </c>
    </row>
    <row r="17" customFormat="false" ht="15" hidden="false" customHeight="false" outlineLevel="0" collapsed="false">
      <c r="A17" s="12" t="s">
        <v>295</v>
      </c>
      <c r="B17" s="8" t="s">
        <v>296</v>
      </c>
      <c r="C17" s="19"/>
      <c r="D17" s="19"/>
      <c r="E17" s="20" t="str">
        <f aca="false">IF(OR(C17="",D17="",D17=0),"",C17/D17)</f>
        <v/>
      </c>
      <c r="F17" s="8" t="s">
        <v>267</v>
      </c>
      <c r="G17" s="13"/>
      <c r="H17" s="13"/>
      <c r="I17" s="13"/>
      <c r="J17" s="8" t="s">
        <v>289</v>
      </c>
    </row>
    <row r="18" customFormat="false" ht="15" hidden="false" customHeight="false" outlineLevel="0" collapsed="false">
      <c r="A18" s="12" t="s">
        <v>297</v>
      </c>
      <c r="B18" s="8" t="s">
        <v>298</v>
      </c>
      <c r="C18" s="19"/>
      <c r="D18" s="19"/>
      <c r="E18" s="23" t="str">
        <f aca="false">IF(C18="","",C18)</f>
        <v/>
      </c>
      <c r="F18" s="8" t="s">
        <v>286</v>
      </c>
      <c r="G18" s="13"/>
      <c r="H18" s="13"/>
      <c r="I18" s="13"/>
      <c r="J18" s="8" t="s">
        <v>289</v>
      </c>
    </row>
    <row r="19" customFormat="false" ht="15" hidden="false" customHeight="false" outlineLevel="0" collapsed="false">
      <c r="A19" s="12" t="s">
        <v>299</v>
      </c>
      <c r="B19" s="8" t="s">
        <v>298</v>
      </c>
      <c r="C19" s="19"/>
      <c r="D19" s="19"/>
      <c r="E19" s="23" t="str">
        <f aca="false">IF(C19="","",C19)</f>
        <v/>
      </c>
      <c r="F19" s="8" t="s">
        <v>286</v>
      </c>
      <c r="G19" s="13"/>
      <c r="H19" s="13"/>
      <c r="I19" s="13"/>
      <c r="J19" s="8" t="s">
        <v>289</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J1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5" topLeftCell="B6" activePane="bottomRight" state="frozen"/>
      <selection pane="topLeft" activeCell="A1" activeCellId="0" sqref="A1"/>
      <selection pane="topRight" activeCell="B1" activeCellId="0" sqref="B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20"/>
    <col collapsed="false" customWidth="true" hidden="false" outlineLevel="0" max="2" min="2" style="0" width="40"/>
    <col collapsed="false" customWidth="true" hidden="false" outlineLevel="0" max="4" min="3" style="0" width="10"/>
    <col collapsed="false" customWidth="true" hidden="false" outlineLevel="0" max="5" min="5" style="0" width="7"/>
    <col collapsed="false" customWidth="true" hidden="false" outlineLevel="0" max="6" min="6" style="0" width="28"/>
    <col collapsed="false" customWidth="true" hidden="false" outlineLevel="0" max="7" min="7" style="0" width="10"/>
    <col collapsed="false" customWidth="true" hidden="false" outlineLevel="0" max="8" min="8" style="0" width="30"/>
    <col collapsed="false" customWidth="true" hidden="false" outlineLevel="0" max="9" min="9" style="0" width="14"/>
    <col collapsed="false" customWidth="true" hidden="false" outlineLevel="0" max="10" min="10" style="0" width="12"/>
  </cols>
  <sheetData>
    <row r="1" customFormat="false" ht="17.35" hidden="false" customHeight="false" outlineLevel="0" collapsed="false">
      <c r="A1" s="10" t="s">
        <v>300</v>
      </c>
    </row>
    <row r="2" customFormat="false" ht="15" hidden="false" customHeight="false" outlineLevel="0" collapsed="false">
      <c r="A2" s="11" t="s">
        <v>301</v>
      </c>
    </row>
    <row r="3" customFormat="false" ht="15" hidden="false" customHeight="false" outlineLevel="0" collapsed="false">
      <c r="A3" s="9" t="s">
        <v>134</v>
      </c>
    </row>
    <row r="5" customFormat="false" ht="30" hidden="false" customHeight="true" outlineLevel="0" collapsed="false">
      <c r="A5" s="6" t="s">
        <v>302</v>
      </c>
      <c r="B5" s="6" t="s">
        <v>303</v>
      </c>
      <c r="C5" s="6" t="s">
        <v>304</v>
      </c>
      <c r="D5" s="6" t="s">
        <v>305</v>
      </c>
      <c r="E5" s="6" t="s">
        <v>217</v>
      </c>
      <c r="F5" s="6" t="s">
        <v>306</v>
      </c>
      <c r="G5" s="6" t="s">
        <v>307</v>
      </c>
      <c r="H5" s="6" t="s">
        <v>308</v>
      </c>
      <c r="I5" s="6" t="s">
        <v>140</v>
      </c>
      <c r="J5" s="6" t="s">
        <v>141</v>
      </c>
    </row>
    <row r="6" customFormat="false" ht="22.35" hidden="false" customHeight="false" outlineLevel="0" collapsed="false">
      <c r="A6" s="12" t="s">
        <v>309</v>
      </c>
      <c r="B6" s="8" t="s">
        <v>310</v>
      </c>
      <c r="C6" s="13"/>
      <c r="D6" s="13"/>
      <c r="E6" s="8" t="str">
        <f aca="false">IF(OR(C6="",D6=""),"",MAX(0,D6-C6))</f>
        <v/>
      </c>
      <c r="F6" s="13"/>
      <c r="G6" s="13"/>
      <c r="H6" s="13"/>
      <c r="I6" s="13"/>
      <c r="J6" s="14"/>
    </row>
    <row r="7" customFormat="false" ht="22.35" hidden="false" customHeight="false" outlineLevel="0" collapsed="false">
      <c r="A7" s="12" t="s">
        <v>311</v>
      </c>
      <c r="B7" s="8" t="s">
        <v>312</v>
      </c>
      <c r="C7" s="13"/>
      <c r="D7" s="13"/>
      <c r="E7" s="8" t="str">
        <f aca="false">IF(OR(C7="",D7=""),"",MAX(0,D7-C7))</f>
        <v/>
      </c>
      <c r="F7" s="13"/>
      <c r="G7" s="13"/>
      <c r="H7" s="13"/>
      <c r="I7" s="13"/>
      <c r="J7" s="14"/>
    </row>
    <row r="8" customFormat="false" ht="22.35" hidden="false" customHeight="false" outlineLevel="0" collapsed="false">
      <c r="A8" s="12" t="s">
        <v>313</v>
      </c>
      <c r="B8" s="8" t="s">
        <v>314</v>
      </c>
      <c r="C8" s="13"/>
      <c r="D8" s="13"/>
      <c r="E8" s="8" t="str">
        <f aca="false">IF(OR(C8="",D8=""),"",MAX(0,D8-C8))</f>
        <v/>
      </c>
      <c r="F8" s="13"/>
      <c r="G8" s="13"/>
      <c r="H8" s="13"/>
      <c r="I8" s="13"/>
      <c r="J8" s="14"/>
    </row>
    <row r="9" customFormat="false" ht="22.35" hidden="false" customHeight="false" outlineLevel="0" collapsed="false">
      <c r="A9" s="12" t="s">
        <v>315</v>
      </c>
      <c r="B9" s="8" t="s">
        <v>316</v>
      </c>
      <c r="C9" s="13"/>
      <c r="D9" s="13"/>
      <c r="E9" s="8" t="str">
        <f aca="false">IF(OR(C9="",D9=""),"",MAX(0,D9-C9))</f>
        <v/>
      </c>
      <c r="F9" s="13"/>
      <c r="G9" s="13"/>
      <c r="H9" s="13"/>
      <c r="I9" s="13"/>
      <c r="J9" s="14"/>
    </row>
    <row r="10" customFormat="false" ht="15" hidden="false" customHeight="false" outlineLevel="0" collapsed="false">
      <c r="A10" s="12" t="s">
        <v>317</v>
      </c>
      <c r="B10" s="8" t="s">
        <v>318</v>
      </c>
      <c r="C10" s="13"/>
      <c r="D10" s="13"/>
      <c r="E10" s="8" t="str">
        <f aca="false">IF(OR(C10="",D10=""),"",MAX(0,D10-C10))</f>
        <v/>
      </c>
      <c r="F10" s="13"/>
      <c r="G10" s="13"/>
      <c r="H10" s="13"/>
      <c r="I10" s="13"/>
      <c r="J10" s="14"/>
    </row>
    <row r="11" customFormat="false" ht="15" hidden="false" customHeight="false" outlineLevel="0" collapsed="false">
      <c r="A11" s="12" t="s">
        <v>319</v>
      </c>
      <c r="B11" s="8" t="s">
        <v>320</v>
      </c>
      <c r="C11" s="13"/>
      <c r="D11" s="13"/>
      <c r="E11" s="8" t="str">
        <f aca="false">IF(OR(C11="",D11=""),"",MAX(0,D11-C11))</f>
        <v/>
      </c>
      <c r="F11" s="13"/>
      <c r="G11" s="13"/>
      <c r="H11" s="13"/>
      <c r="I11" s="13"/>
      <c r="J11" s="14"/>
    </row>
    <row r="12" customFormat="false" ht="22.35" hidden="false" customHeight="false" outlineLevel="0" collapsed="false">
      <c r="A12" s="12" t="s">
        <v>321</v>
      </c>
      <c r="B12" s="8" t="s">
        <v>322</v>
      </c>
      <c r="C12" s="13"/>
      <c r="D12" s="13"/>
      <c r="E12" s="8" t="str">
        <f aca="false">IF(OR(C12="",D12=""),"",MAX(0,D12-C12))</f>
        <v/>
      </c>
      <c r="F12" s="13"/>
      <c r="G12" s="13"/>
      <c r="H12" s="13"/>
      <c r="I12" s="13"/>
      <c r="J12" s="14"/>
    </row>
    <row r="13" customFormat="false" ht="15" hidden="false" customHeight="false" outlineLevel="0" collapsed="false">
      <c r="A13" s="12" t="s">
        <v>323</v>
      </c>
      <c r="B13" s="8" t="s">
        <v>324</v>
      </c>
      <c r="C13" s="13"/>
      <c r="D13" s="13"/>
      <c r="E13" s="8" t="str">
        <f aca="false">IF(OR(C13="",D13=""),"",MAX(0,D13-C13))</f>
        <v/>
      </c>
      <c r="F13" s="13"/>
      <c r="G13" s="13"/>
      <c r="H13" s="13"/>
      <c r="I13" s="13"/>
      <c r="J13" s="14"/>
    </row>
    <row r="14" customFormat="false" ht="15" hidden="false" customHeight="false" outlineLevel="0" collapsed="false">
      <c r="A14" s="12" t="s">
        <v>325</v>
      </c>
      <c r="B14" s="8" t="s">
        <v>326</v>
      </c>
      <c r="C14" s="13"/>
      <c r="D14" s="13"/>
      <c r="E14" s="8" t="str">
        <f aca="false">IF(OR(C14="",D14=""),"",MAX(0,D14-C14))</f>
        <v/>
      </c>
      <c r="F14" s="13"/>
      <c r="G14" s="13"/>
      <c r="H14" s="13"/>
      <c r="I14" s="13"/>
      <c r="J14" s="14"/>
    </row>
    <row r="15" customFormat="false" ht="15" hidden="false" customHeight="false" outlineLevel="0" collapsed="false">
      <c r="A15" s="12" t="s">
        <v>327</v>
      </c>
      <c r="B15" s="8" t="s">
        <v>328</v>
      </c>
      <c r="C15" s="13"/>
      <c r="D15" s="13"/>
      <c r="E15" s="8" t="str">
        <f aca="false">IF(OR(C15="",D15=""),"",MAX(0,D15-C15))</f>
        <v/>
      </c>
      <c r="F15" s="13"/>
      <c r="G15" s="13"/>
      <c r="H15" s="13"/>
      <c r="I15" s="13"/>
      <c r="J15" s="14"/>
    </row>
  </sheetData>
  <dataValidations count="2">
    <dataValidation allowBlank="true" errorStyle="stop" operator="between" showDropDown="false" showErrorMessage="false" showInputMessage="false" sqref="C6:D15" type="whole">
      <formula1>1</formula1>
      <formula2>4</formula2>
    </dataValidation>
    <dataValidation type="date" operator="greaterThanOrEqual" allowBlank="true" showDropDown="false" showInputMessage="true" showErrorMessage="true" errorTitle="Enter a date" error="Enter a real date (yyyy-mm-dd), not text. Formulas that use this date fail silently on text." sqref="J6:J15">
      <formula1>1</formula1>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H2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6" topLeftCell="C7" activePane="bottomRight" state="frozen"/>
      <selection pane="topLeft" activeCell="A1" activeCellId="0" sqref="A1"/>
      <selection pane="topRight" activeCell="C1" activeCellId="0" sqref="C1"/>
      <selection pane="bottomLeft" activeCell="A7" activeCellId="0" sqref="A7"/>
      <selection pane="bottomRight" activeCell="A1" activeCellId="0" sqref="A1"/>
    </sheetView>
  </sheetViews>
  <sheetFormatPr defaultColWidth="8.6796875" defaultRowHeight="15" zeroHeight="false" outlineLevelRow="0" outlineLevelCol="0"/>
  <cols>
    <col collapsed="false" customWidth="true" hidden="false" outlineLevel="0" max="1" min="1" style="0" width="30"/>
    <col collapsed="false" customWidth="true" hidden="false" outlineLevel="0" max="2" min="2" style="0" width="48"/>
    <col collapsed="false" customWidth="true" hidden="false" outlineLevel="0" max="7" min="3" style="0" width="9"/>
    <col collapsed="false" customWidth="true" hidden="false" outlineLevel="0" max="8" min="8" style="0" width="24"/>
  </cols>
  <sheetData>
    <row r="1" customFormat="false" ht="17.35" hidden="false" customHeight="false" outlineLevel="0" collapsed="false">
      <c r="A1" s="10" t="s">
        <v>329</v>
      </c>
    </row>
    <row r="2" customFormat="false" ht="15" hidden="false" customHeight="false" outlineLevel="0" collapsed="false">
      <c r="A2" s="11" t="s">
        <v>330</v>
      </c>
    </row>
    <row r="3" customFormat="false" ht="15" hidden="false" customHeight="false" outlineLevel="0" collapsed="false">
      <c r="A3" s="9" t="s">
        <v>134</v>
      </c>
    </row>
    <row r="4" customFormat="false" ht="15" hidden="false" customHeight="false" outlineLevel="0" collapsed="false">
      <c r="A4" s="17" t="s">
        <v>331</v>
      </c>
      <c r="B4" s="13"/>
    </row>
    <row r="6" customFormat="false" ht="30" hidden="false" customHeight="true" outlineLevel="0" collapsed="false">
      <c r="A6" s="6" t="s">
        <v>332</v>
      </c>
      <c r="B6" s="6" t="s">
        <v>333</v>
      </c>
      <c r="C6" s="6" t="s">
        <v>334</v>
      </c>
      <c r="D6" s="6" t="s">
        <v>335</v>
      </c>
      <c r="E6" s="6" t="s">
        <v>336</v>
      </c>
      <c r="F6" s="6" t="s">
        <v>337</v>
      </c>
      <c r="G6" s="6" t="s">
        <v>338</v>
      </c>
      <c r="H6" s="6" t="s">
        <v>339</v>
      </c>
    </row>
    <row r="7" customFormat="false" ht="22.35" hidden="false" customHeight="false" outlineLevel="0" collapsed="false">
      <c r="A7" s="12" t="s">
        <v>340</v>
      </c>
      <c r="B7" s="8" t="s">
        <v>341</v>
      </c>
      <c r="C7" s="24" t="n">
        <v>0.2</v>
      </c>
      <c r="D7" s="13"/>
      <c r="E7" s="13"/>
      <c r="F7" s="13"/>
      <c r="G7" s="13"/>
      <c r="H7" s="13"/>
    </row>
    <row r="8" customFormat="false" ht="15" hidden="false" customHeight="false" outlineLevel="0" collapsed="false">
      <c r="A8" s="12" t="s">
        <v>342</v>
      </c>
      <c r="B8" s="8" t="s">
        <v>343</v>
      </c>
      <c r="C8" s="24" t="n">
        <v>0.15</v>
      </c>
      <c r="D8" s="13"/>
      <c r="E8" s="13"/>
      <c r="F8" s="13"/>
      <c r="G8" s="13"/>
      <c r="H8" s="13"/>
    </row>
    <row r="9" customFormat="false" ht="15" hidden="false" customHeight="false" outlineLevel="0" collapsed="false">
      <c r="A9" s="12" t="s">
        <v>344</v>
      </c>
      <c r="B9" s="8" t="s">
        <v>345</v>
      </c>
      <c r="C9" s="24" t="n">
        <v>0.2</v>
      </c>
      <c r="D9" s="13"/>
      <c r="E9" s="13"/>
      <c r="F9" s="13"/>
      <c r="G9" s="13"/>
      <c r="H9" s="13"/>
    </row>
    <row r="10" customFormat="false" ht="15" hidden="false" customHeight="false" outlineLevel="0" collapsed="false">
      <c r="A10" s="12" t="s">
        <v>346</v>
      </c>
      <c r="B10" s="8" t="s">
        <v>347</v>
      </c>
      <c r="C10" s="24" t="n">
        <v>0.1</v>
      </c>
      <c r="D10" s="13"/>
      <c r="E10" s="13"/>
      <c r="F10" s="13"/>
      <c r="G10" s="13"/>
      <c r="H10" s="13"/>
    </row>
    <row r="11" customFormat="false" ht="15" hidden="false" customHeight="false" outlineLevel="0" collapsed="false">
      <c r="A11" s="12" t="s">
        <v>348</v>
      </c>
      <c r="B11" s="8" t="s">
        <v>349</v>
      </c>
      <c r="C11" s="24" t="n">
        <v>0.1</v>
      </c>
      <c r="D11" s="13"/>
      <c r="E11" s="13"/>
      <c r="F11" s="13"/>
      <c r="G11" s="13"/>
      <c r="H11" s="13"/>
    </row>
    <row r="12" customFormat="false" ht="15" hidden="false" customHeight="false" outlineLevel="0" collapsed="false">
      <c r="A12" s="12" t="s">
        <v>350</v>
      </c>
      <c r="B12" s="8" t="s">
        <v>351</v>
      </c>
      <c r="C12" s="24" t="n">
        <v>0.1</v>
      </c>
      <c r="D12" s="13"/>
      <c r="E12" s="13"/>
      <c r="F12" s="13"/>
      <c r="G12" s="13"/>
      <c r="H12" s="13"/>
    </row>
    <row r="13" customFormat="false" ht="15" hidden="false" customHeight="false" outlineLevel="0" collapsed="false">
      <c r="A13" s="12" t="s">
        <v>352</v>
      </c>
      <c r="B13" s="8" t="s">
        <v>353</v>
      </c>
      <c r="C13" s="24" t="n">
        <v>0.05</v>
      </c>
      <c r="D13" s="13"/>
      <c r="E13" s="13"/>
      <c r="F13" s="13"/>
      <c r="G13" s="13"/>
      <c r="H13" s="13"/>
    </row>
    <row r="14" customFormat="false" ht="15" hidden="false" customHeight="false" outlineLevel="0" collapsed="false">
      <c r="A14" s="12" t="s">
        <v>354</v>
      </c>
      <c r="B14" s="8" t="s">
        <v>355</v>
      </c>
      <c r="C14" s="24" t="n">
        <v>0.05</v>
      </c>
      <c r="D14" s="13"/>
      <c r="E14" s="13"/>
      <c r="F14" s="13"/>
      <c r="G14" s="13"/>
      <c r="H14" s="13"/>
    </row>
    <row r="15" customFormat="false" ht="15" hidden="false" customHeight="false" outlineLevel="0" collapsed="false">
      <c r="A15" s="12" t="s">
        <v>356</v>
      </c>
      <c r="B15" s="8" t="s">
        <v>357</v>
      </c>
      <c r="C15" s="24" t="n">
        <v>0.05</v>
      </c>
      <c r="D15" s="13"/>
      <c r="E15" s="13"/>
      <c r="F15" s="13"/>
      <c r="G15" s="13"/>
      <c r="H15" s="13"/>
    </row>
    <row r="16" customFormat="false" ht="15" hidden="false" customHeight="false" outlineLevel="0" collapsed="false">
      <c r="A16" s="12" t="s">
        <v>358</v>
      </c>
      <c r="C16" s="25" t="n">
        <f aca="false">SUM(C7:C15)</f>
        <v>1</v>
      </c>
    </row>
    <row r="17" customFormat="false" ht="22.35" hidden="false" customHeight="false" outlineLevel="0" collapsed="false">
      <c r="A17" s="12" t="s">
        <v>359</v>
      </c>
      <c r="D17" s="17" t="str">
        <f aca="false">IF(COUNT(D7:D15)&lt;9,"Incomplete",ROUND(SUMPRODUCT($C$7:$C$15,D7:D15)/SUM($C$7:$C$15),2))</f>
        <v>Incomplete</v>
      </c>
      <c r="E17" s="17" t="str">
        <f aca="false">IF(COUNT(E7:E15)&lt;9,"Incomplete",ROUND(SUMPRODUCT($C$7:$C$15,E7:E15)/SUM($C$7:$C$15),2))</f>
        <v>Incomplete</v>
      </c>
      <c r="F17" s="17" t="str">
        <f aca="false">IF(COUNT(F7:F15)&lt;9,"Incomplete",ROUND(SUMPRODUCT($C$7:$C$15,F7:F15)/SUM($C$7:$C$15),2))</f>
        <v>Incomplete</v>
      </c>
      <c r="G17" s="17" t="str">
        <f aca="false">IF(COUNT(G7:G15)&lt;9,"Incomplete",ROUND(SUMPRODUCT($C$7:$C$15,G7:G15)/SUM($C$7:$C$15),2))</f>
        <v>Incomplete</v>
      </c>
    </row>
    <row r="18" customFormat="false" ht="15" hidden="false" customHeight="false" outlineLevel="0" collapsed="false">
      <c r="A18" s="12" t="s">
        <v>360</v>
      </c>
      <c r="D18" s="17" t="str">
        <f aca="false">IF(ISNUMBER(D17),COUNTIF($D$17:$G$17,"&gt;"&amp;D17)+1,"")</f>
        <v/>
      </c>
      <c r="E18" s="17" t="str">
        <f aca="false">IF(ISNUMBER(E17),COUNTIF($D$17:$G$17,"&gt;"&amp;E17)+1,"")</f>
        <v/>
      </c>
      <c r="F18" s="17" t="str">
        <f aca="false">IF(ISNUMBER(F17),COUNTIF($D$17:$G$17,"&gt;"&amp;F17)+1,"")</f>
        <v/>
      </c>
      <c r="G18" s="17" t="str">
        <f aca="false">IF(ISNUMBER(G17),COUNTIF($D$17:$G$17,"&gt;"&amp;G17)+1,"")</f>
        <v/>
      </c>
    </row>
    <row r="20" customFormat="false" ht="15" hidden="false" customHeight="false" outlineLevel="0" collapsed="false">
      <c r="A20" s="9" t="s">
        <v>361</v>
      </c>
    </row>
  </sheetData>
  <dataValidations count="1">
    <dataValidation allowBlank="true" errorStyle="stop" operator="between" showDropDown="false" showErrorMessage="false" showInputMessage="false" sqref="D7:G15" type="whole">
      <formula1>1</formula1>
      <formula2>5</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U8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21" topLeftCell="C22" activePane="bottomRight" state="frozen"/>
      <selection pane="topLeft" activeCell="A1" activeCellId="0" sqref="A1"/>
      <selection pane="topRight" activeCell="C1" activeCellId="0" sqref="C1"/>
      <selection pane="bottomLeft" activeCell="A22" activeCellId="0" sqref="A22"/>
      <selection pane="bottomRight" activeCell="A1" activeCellId="0" sqref="A1"/>
    </sheetView>
  </sheetViews>
  <sheetFormatPr defaultColWidth="8.6796875" defaultRowHeight="15" zeroHeight="false" outlineLevelRow="0" outlineLevelCol="0"/>
  <cols>
    <col collapsed="false" customWidth="true" hidden="false" outlineLevel="0" max="1" min="1" style="0" width="44"/>
    <col collapsed="false" customWidth="true" hidden="false" outlineLevel="0" max="2" min="2" style="0" width="11"/>
    <col collapsed="false" customWidth="true" hidden="false" outlineLevel="0" max="18" min="3" style="0" width="12"/>
    <col collapsed="false" customWidth="true" hidden="false" outlineLevel="0" max="19" min="19" style="0" width="14"/>
    <col collapsed="false" customWidth="true" hidden="false" outlineLevel="0" max="20" min="20" style="0" width="11"/>
    <col collapsed="false" customWidth="true" hidden="false" outlineLevel="0" max="21" min="21" style="0" width="14"/>
  </cols>
  <sheetData>
    <row r="1" customFormat="false" ht="17.35" hidden="false" customHeight="false" outlineLevel="0" collapsed="false">
      <c r="A1" s="10" t="s">
        <v>362</v>
      </c>
    </row>
    <row r="2" customFormat="false" ht="15" hidden="false" customHeight="false" outlineLevel="0" collapsed="false">
      <c r="A2" s="11" t="s">
        <v>363</v>
      </c>
    </row>
    <row r="3" customFormat="false" ht="15" hidden="false" customHeight="false" outlineLevel="0" collapsed="false">
      <c r="A3" s="9" t="s">
        <v>134</v>
      </c>
    </row>
    <row r="4" customFormat="false" ht="15" hidden="false" customHeight="false" outlineLevel="0" collapsed="false">
      <c r="D4" s="26" t="s">
        <v>364</v>
      </c>
    </row>
    <row r="5" customFormat="false" ht="22.35" hidden="false" customHeight="false" outlineLevel="0" collapsed="false">
      <c r="A5" s="12" t="s">
        <v>365</v>
      </c>
      <c r="B5" s="27"/>
    </row>
    <row r="6" customFormat="false" ht="15" hidden="false" customHeight="false" outlineLevel="0" collapsed="false">
      <c r="A6" s="12" t="s">
        <v>366</v>
      </c>
      <c r="B6" s="28"/>
    </row>
    <row r="7" customFormat="false" ht="15" hidden="false" customHeight="false" outlineLevel="0" collapsed="false">
      <c r="A7" s="12" t="s">
        <v>367</v>
      </c>
      <c r="B7" s="28"/>
    </row>
    <row r="8" customFormat="false" ht="15" hidden="false" customHeight="false" outlineLevel="0" collapsed="false">
      <c r="A8" s="29" t="s">
        <v>368</v>
      </c>
      <c r="B8" s="30"/>
    </row>
    <row r="9" customFormat="false" ht="22.35" hidden="false" customHeight="false" outlineLevel="0" collapsed="false">
      <c r="A9" s="12" t="s">
        <v>369</v>
      </c>
      <c r="D9" s="9" t="s">
        <v>370</v>
      </c>
    </row>
    <row r="10" customFormat="false" ht="30" hidden="false" customHeight="true" outlineLevel="0" collapsed="false">
      <c r="A10" s="6" t="s">
        <v>371</v>
      </c>
      <c r="B10" s="6" t="s">
        <v>372</v>
      </c>
      <c r="C10" s="6" t="s">
        <v>373</v>
      </c>
      <c r="D10" s="6" t="s">
        <v>374</v>
      </c>
      <c r="E10" s="6" t="s">
        <v>375</v>
      </c>
      <c r="F10" s="6" t="s">
        <v>376</v>
      </c>
      <c r="G10" s="6" t="s">
        <v>377</v>
      </c>
      <c r="H10" s="6" t="s">
        <v>378</v>
      </c>
      <c r="I10" s="6" t="s">
        <v>379</v>
      </c>
      <c r="J10" s="6" t="s">
        <v>380</v>
      </c>
      <c r="K10" s="6" t="s">
        <v>381</v>
      </c>
      <c r="L10" s="6" t="s">
        <v>382</v>
      </c>
      <c r="M10" s="6" t="s">
        <v>383</v>
      </c>
      <c r="N10" s="6" t="s">
        <v>384</v>
      </c>
      <c r="O10" s="6" t="s">
        <v>385</v>
      </c>
      <c r="P10" s="6" t="s">
        <v>386</v>
      </c>
      <c r="Q10" s="6" t="s">
        <v>387</v>
      </c>
      <c r="R10" s="6" t="s">
        <v>388</v>
      </c>
      <c r="S10" s="6" t="s">
        <v>389</v>
      </c>
      <c r="T10" s="6" t="s">
        <v>390</v>
      </c>
      <c r="U10" s="6" t="s">
        <v>391</v>
      </c>
    </row>
    <row r="11" customFormat="false" ht="15" hidden="false" customHeight="false" outlineLevel="0" collapsed="false">
      <c r="A11" s="17" t="s">
        <v>392</v>
      </c>
      <c r="B11" s="31"/>
      <c r="C11" s="32" t="n">
        <f aca="false">IF(OR($B11="",$B11&lt;=0,T11="",U11=""),0,IF(AND(0&gt;0,MOD(0,ROUND($B11,0))=0),T11*U11,0))</f>
        <v>0</v>
      </c>
      <c r="D11" s="32" t="n">
        <f aca="false">IF(OR($B11="",$B11&lt;=0,T11="",U11=""),0,IF(AND(1&gt;0,MOD(1,ROUND($B11,0))=0),T11*U11,0))</f>
        <v>0</v>
      </c>
      <c r="E11" s="32" t="n">
        <f aca="false">IF(OR($B11="",$B11&lt;=0,T11="",U11=""),0,IF(AND(2&gt;0,MOD(2,ROUND($B11,0))=0),T11*U11,0))</f>
        <v>0</v>
      </c>
      <c r="F11" s="32" t="n">
        <f aca="false">IF(OR($B11="",$B11&lt;=0,T11="",U11=""),0,IF(AND(3&gt;0,MOD(3,ROUND($B11,0))=0),T11*U11,0))</f>
        <v>0</v>
      </c>
      <c r="G11" s="32" t="n">
        <f aca="false">IF(OR($B11="",$B11&lt;=0,T11="",U11=""),0,IF(AND(4&gt;0,MOD(4,ROUND($B11,0))=0),T11*U11,0))</f>
        <v>0</v>
      </c>
      <c r="H11" s="32" t="n">
        <f aca="false">IF(OR($B11="",$B11&lt;=0,T11="",U11=""),0,IF(AND(5&gt;0,MOD(5,ROUND($B11,0))=0),T11*U11,0))</f>
        <v>0</v>
      </c>
      <c r="I11" s="32" t="n">
        <f aca="false">IF(OR($B11="",$B11&lt;=0,T11="",U11=""),0,IF(AND(6&gt;0,MOD(6,ROUND($B11,0))=0),T11*U11,0))</f>
        <v>0</v>
      </c>
      <c r="J11" s="32" t="n">
        <f aca="false">IF(OR($B11="",$B11&lt;=0,T11="",U11=""),0,IF(AND(7&gt;0,MOD(7,ROUND($B11,0))=0),T11*U11,0))</f>
        <v>0</v>
      </c>
      <c r="K11" s="32" t="n">
        <f aca="false">IF(OR($B11="",$B11&lt;=0,T11="",U11=""),0,IF(AND(8&gt;0,MOD(8,ROUND($B11,0))=0),T11*U11,0))</f>
        <v>0</v>
      </c>
      <c r="L11" s="32" t="n">
        <f aca="false">IF(OR($B11="",$B11&lt;=0,T11="",U11=""),0,IF(AND(9&gt;0,MOD(9,ROUND($B11,0))=0),T11*U11,0))</f>
        <v>0</v>
      </c>
      <c r="M11" s="32" t="n">
        <f aca="false">IF(OR($B11="",$B11&lt;=0,T11="",U11=""),0,IF(AND(10&gt;0,MOD(10,ROUND($B11,0))=0),T11*U11,0))</f>
        <v>0</v>
      </c>
      <c r="N11" s="32" t="n">
        <f aca="false">IF(OR($B11="",$B11&lt;=0,T11="",U11=""),0,IF(AND(11&gt;0,MOD(11,ROUND($B11,0))=0),T11*U11,0))</f>
        <v>0</v>
      </c>
      <c r="O11" s="32" t="n">
        <f aca="false">IF(OR($B11="",$B11&lt;=0,T11="",U11=""),0,IF(AND(12&gt;0,MOD(12,ROUND($B11,0))=0),T11*U11,0))</f>
        <v>0</v>
      </c>
      <c r="P11" s="32" t="n">
        <f aca="false">IF(OR($B11="",$B11&lt;=0,T11="",U11=""),0,IF(AND(13&gt;0,MOD(13,ROUND($B11,0))=0),T11*U11,0))</f>
        <v>0</v>
      </c>
      <c r="Q11" s="32" t="n">
        <f aca="false">IF(OR($B11="",$B11&lt;=0,T11="",U11=""),0,IF(AND(14&gt;0,MOD(14,ROUND($B11,0))=0),T11*U11,0))</f>
        <v>0</v>
      </c>
      <c r="R11" s="32" t="n">
        <f aca="false">IF(OR($B11="",$B11&lt;=0,T11="",U11=""),0,IF(AND(15&gt;0,MOD(15,ROUND($B11,0))=0),T11*U11,0))</f>
        <v>0</v>
      </c>
      <c r="S11" s="33" t="n">
        <f aca="false">SUM(C11:R11)</f>
        <v>0</v>
      </c>
      <c r="T11" s="28"/>
      <c r="U11" s="34"/>
    </row>
    <row r="12" customFormat="false" ht="15" hidden="false" customHeight="false" outlineLevel="0" collapsed="false">
      <c r="A12" s="17" t="s">
        <v>393</v>
      </c>
      <c r="B12" s="31"/>
      <c r="C12" s="32" t="n">
        <f aca="false">IF(OR($B12="",$B12&lt;=0,T12="",U12=""),0,IF(AND(0&gt;0,MOD(0,ROUND($B12,0))=0),T12*U12,0))</f>
        <v>0</v>
      </c>
      <c r="D12" s="32" t="n">
        <f aca="false">IF(OR($B12="",$B12&lt;=0,T12="",U12=""),0,IF(AND(1&gt;0,MOD(1,ROUND($B12,0))=0),T12*U12,0))</f>
        <v>0</v>
      </c>
      <c r="E12" s="32" t="n">
        <f aca="false">IF(OR($B12="",$B12&lt;=0,T12="",U12=""),0,IF(AND(2&gt;0,MOD(2,ROUND($B12,0))=0),T12*U12,0))</f>
        <v>0</v>
      </c>
      <c r="F12" s="32" t="n">
        <f aca="false">IF(OR($B12="",$B12&lt;=0,T12="",U12=""),0,IF(AND(3&gt;0,MOD(3,ROUND($B12,0))=0),T12*U12,0))</f>
        <v>0</v>
      </c>
      <c r="G12" s="32" t="n">
        <f aca="false">IF(OR($B12="",$B12&lt;=0,T12="",U12=""),0,IF(AND(4&gt;0,MOD(4,ROUND($B12,0))=0),T12*U12,0))</f>
        <v>0</v>
      </c>
      <c r="H12" s="32" t="n">
        <f aca="false">IF(OR($B12="",$B12&lt;=0,T12="",U12=""),0,IF(AND(5&gt;0,MOD(5,ROUND($B12,0))=0),T12*U12,0))</f>
        <v>0</v>
      </c>
      <c r="I12" s="32" t="n">
        <f aca="false">IF(OR($B12="",$B12&lt;=0,T12="",U12=""),0,IF(AND(6&gt;0,MOD(6,ROUND($B12,0))=0),T12*U12,0))</f>
        <v>0</v>
      </c>
      <c r="J12" s="32" t="n">
        <f aca="false">IF(OR($B12="",$B12&lt;=0,T12="",U12=""),0,IF(AND(7&gt;0,MOD(7,ROUND($B12,0))=0),T12*U12,0))</f>
        <v>0</v>
      </c>
      <c r="K12" s="32" t="n">
        <f aca="false">IF(OR($B12="",$B12&lt;=0,T12="",U12=""),0,IF(AND(8&gt;0,MOD(8,ROUND($B12,0))=0),T12*U12,0))</f>
        <v>0</v>
      </c>
      <c r="L12" s="32" t="n">
        <f aca="false">IF(OR($B12="",$B12&lt;=0,T12="",U12=""),0,IF(AND(9&gt;0,MOD(9,ROUND($B12,0))=0),T12*U12,0))</f>
        <v>0</v>
      </c>
      <c r="M12" s="32" t="n">
        <f aca="false">IF(OR($B12="",$B12&lt;=0,T12="",U12=""),0,IF(AND(10&gt;0,MOD(10,ROUND($B12,0))=0),T12*U12,0))</f>
        <v>0</v>
      </c>
      <c r="N12" s="32" t="n">
        <f aca="false">IF(OR($B12="",$B12&lt;=0,T12="",U12=""),0,IF(AND(11&gt;0,MOD(11,ROUND($B12,0))=0),T12*U12,0))</f>
        <v>0</v>
      </c>
      <c r="O12" s="32" t="n">
        <f aca="false">IF(OR($B12="",$B12&lt;=0,T12="",U12=""),0,IF(AND(12&gt;0,MOD(12,ROUND($B12,0))=0),T12*U12,0))</f>
        <v>0</v>
      </c>
      <c r="P12" s="32" t="n">
        <f aca="false">IF(OR($B12="",$B12&lt;=0,T12="",U12=""),0,IF(AND(13&gt;0,MOD(13,ROUND($B12,0))=0),T12*U12,0))</f>
        <v>0</v>
      </c>
      <c r="Q12" s="32" t="n">
        <f aca="false">IF(OR($B12="",$B12&lt;=0,T12="",U12=""),0,IF(AND(14&gt;0,MOD(14,ROUND($B12,0))=0),T12*U12,0))</f>
        <v>0</v>
      </c>
      <c r="R12" s="32" t="n">
        <f aca="false">IF(OR($B12="",$B12&lt;=0,T12="",U12=""),0,IF(AND(15&gt;0,MOD(15,ROUND($B12,0))=0),T12*U12,0))</f>
        <v>0</v>
      </c>
      <c r="S12" s="33" t="n">
        <f aca="false">SUM(C12:R12)</f>
        <v>0</v>
      </c>
      <c r="T12" s="28"/>
      <c r="U12" s="34"/>
    </row>
    <row r="13" customFormat="false" ht="15" hidden="false" customHeight="false" outlineLevel="0" collapsed="false">
      <c r="A13" s="17" t="s">
        <v>394</v>
      </c>
      <c r="B13" s="31"/>
      <c r="C13" s="32" t="n">
        <f aca="false">IF(OR($B13="",$B13&lt;=0,T13="",U13=""),0,IF(AND(0&gt;0,MOD(0,ROUND($B13,0))=0),T13*U13,0))</f>
        <v>0</v>
      </c>
      <c r="D13" s="32" t="n">
        <f aca="false">IF(OR($B13="",$B13&lt;=0,T13="",U13=""),0,IF(AND(1&gt;0,MOD(1,ROUND($B13,0))=0),T13*U13,0))</f>
        <v>0</v>
      </c>
      <c r="E13" s="32" t="n">
        <f aca="false">IF(OR($B13="",$B13&lt;=0,T13="",U13=""),0,IF(AND(2&gt;0,MOD(2,ROUND($B13,0))=0),T13*U13,0))</f>
        <v>0</v>
      </c>
      <c r="F13" s="32" t="n">
        <f aca="false">IF(OR($B13="",$B13&lt;=0,T13="",U13=""),0,IF(AND(3&gt;0,MOD(3,ROUND($B13,0))=0),T13*U13,0))</f>
        <v>0</v>
      </c>
      <c r="G13" s="32" t="n">
        <f aca="false">IF(OR($B13="",$B13&lt;=0,T13="",U13=""),0,IF(AND(4&gt;0,MOD(4,ROUND($B13,0))=0),T13*U13,0))</f>
        <v>0</v>
      </c>
      <c r="H13" s="32" t="n">
        <f aca="false">IF(OR($B13="",$B13&lt;=0,T13="",U13=""),0,IF(AND(5&gt;0,MOD(5,ROUND($B13,0))=0),T13*U13,0))</f>
        <v>0</v>
      </c>
      <c r="I13" s="32" t="n">
        <f aca="false">IF(OR($B13="",$B13&lt;=0,T13="",U13=""),0,IF(AND(6&gt;0,MOD(6,ROUND($B13,0))=0),T13*U13,0))</f>
        <v>0</v>
      </c>
      <c r="J13" s="32" t="n">
        <f aca="false">IF(OR($B13="",$B13&lt;=0,T13="",U13=""),0,IF(AND(7&gt;0,MOD(7,ROUND($B13,0))=0),T13*U13,0))</f>
        <v>0</v>
      </c>
      <c r="K13" s="32" t="n">
        <f aca="false">IF(OR($B13="",$B13&lt;=0,T13="",U13=""),0,IF(AND(8&gt;0,MOD(8,ROUND($B13,0))=0),T13*U13,0))</f>
        <v>0</v>
      </c>
      <c r="L13" s="32" t="n">
        <f aca="false">IF(OR($B13="",$B13&lt;=0,T13="",U13=""),0,IF(AND(9&gt;0,MOD(9,ROUND($B13,0))=0),T13*U13,0))</f>
        <v>0</v>
      </c>
      <c r="M13" s="32" t="n">
        <f aca="false">IF(OR($B13="",$B13&lt;=0,T13="",U13=""),0,IF(AND(10&gt;0,MOD(10,ROUND($B13,0))=0),T13*U13,0))</f>
        <v>0</v>
      </c>
      <c r="N13" s="32" t="n">
        <f aca="false">IF(OR($B13="",$B13&lt;=0,T13="",U13=""),0,IF(AND(11&gt;0,MOD(11,ROUND($B13,0))=0),T13*U13,0))</f>
        <v>0</v>
      </c>
      <c r="O13" s="32" t="n">
        <f aca="false">IF(OR($B13="",$B13&lt;=0,T13="",U13=""),0,IF(AND(12&gt;0,MOD(12,ROUND($B13,0))=0),T13*U13,0))</f>
        <v>0</v>
      </c>
      <c r="P13" s="32" t="n">
        <f aca="false">IF(OR($B13="",$B13&lt;=0,T13="",U13=""),0,IF(AND(13&gt;0,MOD(13,ROUND($B13,0))=0),T13*U13,0))</f>
        <v>0</v>
      </c>
      <c r="Q13" s="32" t="n">
        <f aca="false">IF(OR($B13="",$B13&lt;=0,T13="",U13=""),0,IF(AND(14&gt;0,MOD(14,ROUND($B13,0))=0),T13*U13,0))</f>
        <v>0</v>
      </c>
      <c r="R13" s="32" t="n">
        <f aca="false">IF(OR($B13="",$B13&lt;=0,T13="",U13=""),0,IF(AND(15&gt;0,MOD(15,ROUND($B13,0))=0),T13*U13,0))</f>
        <v>0</v>
      </c>
      <c r="S13" s="33" t="n">
        <f aca="false">SUM(C13:R13)</f>
        <v>0</v>
      </c>
      <c r="T13" s="28"/>
      <c r="U13" s="34"/>
    </row>
    <row r="14" customFormat="false" ht="15" hidden="false" customHeight="false" outlineLevel="0" collapsed="false">
      <c r="A14" s="17" t="s">
        <v>395</v>
      </c>
      <c r="B14" s="31"/>
      <c r="C14" s="32" t="n">
        <f aca="false">IF(OR($B14="",$B14&lt;=0,T14="",U14=""),0,IF(AND(0&gt;0,MOD(0,ROUND($B14,0))=0),T14*U14,0))</f>
        <v>0</v>
      </c>
      <c r="D14" s="32" t="n">
        <f aca="false">IF(OR($B14="",$B14&lt;=0,T14="",U14=""),0,IF(AND(1&gt;0,MOD(1,ROUND($B14,0))=0),T14*U14,0))</f>
        <v>0</v>
      </c>
      <c r="E14" s="32" t="n">
        <f aca="false">IF(OR($B14="",$B14&lt;=0,T14="",U14=""),0,IF(AND(2&gt;0,MOD(2,ROUND($B14,0))=0),T14*U14,0))</f>
        <v>0</v>
      </c>
      <c r="F14" s="32" t="n">
        <f aca="false">IF(OR($B14="",$B14&lt;=0,T14="",U14=""),0,IF(AND(3&gt;0,MOD(3,ROUND($B14,0))=0),T14*U14,0))</f>
        <v>0</v>
      </c>
      <c r="G14" s="32" t="n">
        <f aca="false">IF(OR($B14="",$B14&lt;=0,T14="",U14=""),0,IF(AND(4&gt;0,MOD(4,ROUND($B14,0))=0),T14*U14,0))</f>
        <v>0</v>
      </c>
      <c r="H14" s="32" t="n">
        <f aca="false">IF(OR($B14="",$B14&lt;=0,T14="",U14=""),0,IF(AND(5&gt;0,MOD(5,ROUND($B14,0))=0),T14*U14,0))</f>
        <v>0</v>
      </c>
      <c r="I14" s="32" t="n">
        <f aca="false">IF(OR($B14="",$B14&lt;=0,T14="",U14=""),0,IF(AND(6&gt;0,MOD(6,ROUND($B14,0))=0),T14*U14,0))</f>
        <v>0</v>
      </c>
      <c r="J14" s="32" t="n">
        <f aca="false">IF(OR($B14="",$B14&lt;=0,T14="",U14=""),0,IF(AND(7&gt;0,MOD(7,ROUND($B14,0))=0),T14*U14,0))</f>
        <v>0</v>
      </c>
      <c r="K14" s="32" t="n">
        <f aca="false">IF(OR($B14="",$B14&lt;=0,T14="",U14=""),0,IF(AND(8&gt;0,MOD(8,ROUND($B14,0))=0),T14*U14,0))</f>
        <v>0</v>
      </c>
      <c r="L14" s="32" t="n">
        <f aca="false">IF(OR($B14="",$B14&lt;=0,T14="",U14=""),0,IF(AND(9&gt;0,MOD(9,ROUND($B14,0))=0),T14*U14,0))</f>
        <v>0</v>
      </c>
      <c r="M14" s="32" t="n">
        <f aca="false">IF(OR($B14="",$B14&lt;=0,T14="",U14=""),0,IF(AND(10&gt;0,MOD(10,ROUND($B14,0))=0),T14*U14,0))</f>
        <v>0</v>
      </c>
      <c r="N14" s="32" t="n">
        <f aca="false">IF(OR($B14="",$B14&lt;=0,T14="",U14=""),0,IF(AND(11&gt;0,MOD(11,ROUND($B14,0))=0),T14*U14,0))</f>
        <v>0</v>
      </c>
      <c r="O14" s="32" t="n">
        <f aca="false">IF(OR($B14="",$B14&lt;=0,T14="",U14=""),0,IF(AND(12&gt;0,MOD(12,ROUND($B14,0))=0),T14*U14,0))</f>
        <v>0</v>
      </c>
      <c r="P14" s="32" t="n">
        <f aca="false">IF(OR($B14="",$B14&lt;=0,T14="",U14=""),0,IF(AND(13&gt;0,MOD(13,ROUND($B14,0))=0),T14*U14,0))</f>
        <v>0</v>
      </c>
      <c r="Q14" s="32" t="n">
        <f aca="false">IF(OR($B14="",$B14&lt;=0,T14="",U14=""),0,IF(AND(14&gt;0,MOD(14,ROUND($B14,0))=0),T14*U14,0))</f>
        <v>0</v>
      </c>
      <c r="R14" s="32" t="n">
        <f aca="false">IF(OR($B14="",$B14&lt;=0,T14="",U14=""),0,IF(AND(15&gt;0,MOD(15,ROUND($B14,0))=0),T14*U14,0))</f>
        <v>0</v>
      </c>
      <c r="S14" s="33" t="n">
        <f aca="false">SUM(C14:R14)</f>
        <v>0</v>
      </c>
      <c r="T14" s="28"/>
      <c r="U14" s="34"/>
    </row>
    <row r="15" customFormat="false" ht="15" hidden="false" customHeight="false" outlineLevel="0" collapsed="false">
      <c r="A15" s="17" t="s">
        <v>396</v>
      </c>
      <c r="B15" s="31"/>
      <c r="C15" s="32" t="n">
        <f aca="false">IF(OR($B15="",$B15&lt;=0,T15="",U15=""),0,IF(AND(0&gt;0,MOD(0,ROUND($B15,0))=0),T15*U15,0))</f>
        <v>0</v>
      </c>
      <c r="D15" s="32" t="n">
        <f aca="false">IF(OR($B15="",$B15&lt;=0,T15="",U15=""),0,IF(AND(1&gt;0,MOD(1,ROUND($B15,0))=0),T15*U15,0))</f>
        <v>0</v>
      </c>
      <c r="E15" s="32" t="n">
        <f aca="false">IF(OR($B15="",$B15&lt;=0,T15="",U15=""),0,IF(AND(2&gt;0,MOD(2,ROUND($B15,0))=0),T15*U15,0))</f>
        <v>0</v>
      </c>
      <c r="F15" s="32" t="n">
        <f aca="false">IF(OR($B15="",$B15&lt;=0,T15="",U15=""),0,IF(AND(3&gt;0,MOD(3,ROUND($B15,0))=0),T15*U15,0))</f>
        <v>0</v>
      </c>
      <c r="G15" s="32" t="n">
        <f aca="false">IF(OR($B15="",$B15&lt;=0,T15="",U15=""),0,IF(AND(4&gt;0,MOD(4,ROUND($B15,0))=0),T15*U15,0))</f>
        <v>0</v>
      </c>
      <c r="H15" s="32" t="n">
        <f aca="false">IF(OR($B15="",$B15&lt;=0,T15="",U15=""),0,IF(AND(5&gt;0,MOD(5,ROUND($B15,0))=0),T15*U15,0))</f>
        <v>0</v>
      </c>
      <c r="I15" s="32" t="n">
        <f aca="false">IF(OR($B15="",$B15&lt;=0,T15="",U15=""),0,IF(AND(6&gt;0,MOD(6,ROUND($B15,0))=0),T15*U15,0))</f>
        <v>0</v>
      </c>
      <c r="J15" s="32" t="n">
        <f aca="false">IF(OR($B15="",$B15&lt;=0,T15="",U15=""),0,IF(AND(7&gt;0,MOD(7,ROUND($B15,0))=0),T15*U15,0))</f>
        <v>0</v>
      </c>
      <c r="K15" s="32" t="n">
        <f aca="false">IF(OR($B15="",$B15&lt;=0,T15="",U15=""),0,IF(AND(8&gt;0,MOD(8,ROUND($B15,0))=0),T15*U15,0))</f>
        <v>0</v>
      </c>
      <c r="L15" s="32" t="n">
        <f aca="false">IF(OR($B15="",$B15&lt;=0,T15="",U15=""),0,IF(AND(9&gt;0,MOD(9,ROUND($B15,0))=0),T15*U15,0))</f>
        <v>0</v>
      </c>
      <c r="M15" s="32" t="n">
        <f aca="false">IF(OR($B15="",$B15&lt;=0,T15="",U15=""),0,IF(AND(10&gt;0,MOD(10,ROUND($B15,0))=0),T15*U15,0))</f>
        <v>0</v>
      </c>
      <c r="N15" s="32" t="n">
        <f aca="false">IF(OR($B15="",$B15&lt;=0,T15="",U15=""),0,IF(AND(11&gt;0,MOD(11,ROUND($B15,0))=0),T15*U15,0))</f>
        <v>0</v>
      </c>
      <c r="O15" s="32" t="n">
        <f aca="false">IF(OR($B15="",$B15&lt;=0,T15="",U15=""),0,IF(AND(12&gt;0,MOD(12,ROUND($B15,0))=0),T15*U15,0))</f>
        <v>0</v>
      </c>
      <c r="P15" s="32" t="n">
        <f aca="false">IF(OR($B15="",$B15&lt;=0,T15="",U15=""),0,IF(AND(13&gt;0,MOD(13,ROUND($B15,0))=0),T15*U15,0))</f>
        <v>0</v>
      </c>
      <c r="Q15" s="32" t="n">
        <f aca="false">IF(OR($B15="",$B15&lt;=0,T15="",U15=""),0,IF(AND(14&gt;0,MOD(14,ROUND($B15,0))=0),T15*U15,0))</f>
        <v>0</v>
      </c>
      <c r="R15" s="32" t="n">
        <f aca="false">IF(OR($B15="",$B15&lt;=0,T15="",U15=""),0,IF(AND(15&gt;0,MOD(15,ROUND($B15,0))=0),T15*U15,0))</f>
        <v>0</v>
      </c>
      <c r="S15" s="33" t="n">
        <f aca="false">SUM(C15:R15)</f>
        <v>0</v>
      </c>
      <c r="T15" s="28"/>
      <c r="U15" s="34"/>
    </row>
    <row r="16" customFormat="false" ht="15" hidden="false" customHeight="false" outlineLevel="0" collapsed="false">
      <c r="A16" s="17" t="s">
        <v>397</v>
      </c>
      <c r="B16" s="31"/>
      <c r="C16" s="32" t="n">
        <f aca="false">IF(OR($B16="",$B16&lt;=0,T16="",U16=""),0,IF(AND(0&gt;0,MOD(0,ROUND($B16,0))=0),T16*U16,0))</f>
        <v>0</v>
      </c>
      <c r="D16" s="32" t="n">
        <f aca="false">IF(OR($B16="",$B16&lt;=0,T16="",U16=""),0,IF(AND(1&gt;0,MOD(1,ROUND($B16,0))=0),T16*U16,0))</f>
        <v>0</v>
      </c>
      <c r="E16" s="32" t="n">
        <f aca="false">IF(OR($B16="",$B16&lt;=0,T16="",U16=""),0,IF(AND(2&gt;0,MOD(2,ROUND($B16,0))=0),T16*U16,0))</f>
        <v>0</v>
      </c>
      <c r="F16" s="32" t="n">
        <f aca="false">IF(OR($B16="",$B16&lt;=0,T16="",U16=""),0,IF(AND(3&gt;0,MOD(3,ROUND($B16,0))=0),T16*U16,0))</f>
        <v>0</v>
      </c>
      <c r="G16" s="32" t="n">
        <f aca="false">IF(OR($B16="",$B16&lt;=0,T16="",U16=""),0,IF(AND(4&gt;0,MOD(4,ROUND($B16,0))=0),T16*U16,0))</f>
        <v>0</v>
      </c>
      <c r="H16" s="32" t="n">
        <f aca="false">IF(OR($B16="",$B16&lt;=0,T16="",U16=""),0,IF(AND(5&gt;0,MOD(5,ROUND($B16,0))=0),T16*U16,0))</f>
        <v>0</v>
      </c>
      <c r="I16" s="32" t="n">
        <f aca="false">IF(OR($B16="",$B16&lt;=0,T16="",U16=""),0,IF(AND(6&gt;0,MOD(6,ROUND($B16,0))=0),T16*U16,0))</f>
        <v>0</v>
      </c>
      <c r="J16" s="32" t="n">
        <f aca="false">IF(OR($B16="",$B16&lt;=0,T16="",U16=""),0,IF(AND(7&gt;0,MOD(7,ROUND($B16,0))=0),T16*U16,0))</f>
        <v>0</v>
      </c>
      <c r="K16" s="32" t="n">
        <f aca="false">IF(OR($B16="",$B16&lt;=0,T16="",U16=""),0,IF(AND(8&gt;0,MOD(8,ROUND($B16,0))=0),T16*U16,0))</f>
        <v>0</v>
      </c>
      <c r="L16" s="32" t="n">
        <f aca="false">IF(OR($B16="",$B16&lt;=0,T16="",U16=""),0,IF(AND(9&gt;0,MOD(9,ROUND($B16,0))=0),T16*U16,0))</f>
        <v>0</v>
      </c>
      <c r="M16" s="32" t="n">
        <f aca="false">IF(OR($B16="",$B16&lt;=0,T16="",U16=""),0,IF(AND(10&gt;0,MOD(10,ROUND($B16,0))=0),T16*U16,0))</f>
        <v>0</v>
      </c>
      <c r="N16" s="32" t="n">
        <f aca="false">IF(OR($B16="",$B16&lt;=0,T16="",U16=""),0,IF(AND(11&gt;0,MOD(11,ROUND($B16,0))=0),T16*U16,0))</f>
        <v>0</v>
      </c>
      <c r="O16" s="32" t="n">
        <f aca="false">IF(OR($B16="",$B16&lt;=0,T16="",U16=""),0,IF(AND(12&gt;0,MOD(12,ROUND($B16,0))=0),T16*U16,0))</f>
        <v>0</v>
      </c>
      <c r="P16" s="32" t="n">
        <f aca="false">IF(OR($B16="",$B16&lt;=0,T16="",U16=""),0,IF(AND(13&gt;0,MOD(13,ROUND($B16,0))=0),T16*U16,0))</f>
        <v>0</v>
      </c>
      <c r="Q16" s="32" t="n">
        <f aca="false">IF(OR($B16="",$B16&lt;=0,T16="",U16=""),0,IF(AND(14&gt;0,MOD(14,ROUND($B16,0))=0),T16*U16,0))</f>
        <v>0</v>
      </c>
      <c r="R16" s="32" t="n">
        <f aca="false">IF(OR($B16="",$B16&lt;=0,T16="",U16=""),0,IF(AND(15&gt;0,MOD(15,ROUND($B16,0))=0),T16*U16,0))</f>
        <v>0</v>
      </c>
      <c r="S16" s="33" t="n">
        <f aca="false">SUM(C16:R16)</f>
        <v>0</v>
      </c>
      <c r="T16" s="28"/>
      <c r="U16" s="34"/>
    </row>
    <row r="17" customFormat="false" ht="15" hidden="false" customHeight="false" outlineLevel="0" collapsed="false">
      <c r="A17" s="17" t="s">
        <v>398</v>
      </c>
      <c r="B17" s="31"/>
      <c r="C17" s="32" t="n">
        <f aca="false">IF(OR($B17="",$B17&lt;=0,T17="",U17=""),0,IF(AND(0&gt;0,MOD(0,ROUND($B17,0))=0),T17*U17,0))</f>
        <v>0</v>
      </c>
      <c r="D17" s="32" t="n">
        <f aca="false">IF(OR($B17="",$B17&lt;=0,T17="",U17=""),0,IF(AND(1&gt;0,MOD(1,ROUND($B17,0))=0),T17*U17,0))</f>
        <v>0</v>
      </c>
      <c r="E17" s="32" t="n">
        <f aca="false">IF(OR($B17="",$B17&lt;=0,T17="",U17=""),0,IF(AND(2&gt;0,MOD(2,ROUND($B17,0))=0),T17*U17,0))</f>
        <v>0</v>
      </c>
      <c r="F17" s="32" t="n">
        <f aca="false">IF(OR($B17="",$B17&lt;=0,T17="",U17=""),0,IF(AND(3&gt;0,MOD(3,ROUND($B17,0))=0),T17*U17,0))</f>
        <v>0</v>
      </c>
      <c r="G17" s="32" t="n">
        <f aca="false">IF(OR($B17="",$B17&lt;=0,T17="",U17=""),0,IF(AND(4&gt;0,MOD(4,ROUND($B17,0))=0),T17*U17,0))</f>
        <v>0</v>
      </c>
      <c r="H17" s="32" t="n">
        <f aca="false">IF(OR($B17="",$B17&lt;=0,T17="",U17=""),0,IF(AND(5&gt;0,MOD(5,ROUND($B17,0))=0),T17*U17,0))</f>
        <v>0</v>
      </c>
      <c r="I17" s="32" t="n">
        <f aca="false">IF(OR($B17="",$B17&lt;=0,T17="",U17=""),0,IF(AND(6&gt;0,MOD(6,ROUND($B17,0))=0),T17*U17,0))</f>
        <v>0</v>
      </c>
      <c r="J17" s="32" t="n">
        <f aca="false">IF(OR($B17="",$B17&lt;=0,T17="",U17=""),0,IF(AND(7&gt;0,MOD(7,ROUND($B17,0))=0),T17*U17,0))</f>
        <v>0</v>
      </c>
      <c r="K17" s="32" t="n">
        <f aca="false">IF(OR($B17="",$B17&lt;=0,T17="",U17=""),0,IF(AND(8&gt;0,MOD(8,ROUND($B17,0))=0),T17*U17,0))</f>
        <v>0</v>
      </c>
      <c r="L17" s="32" t="n">
        <f aca="false">IF(OR($B17="",$B17&lt;=0,T17="",U17=""),0,IF(AND(9&gt;0,MOD(9,ROUND($B17,0))=0),T17*U17,0))</f>
        <v>0</v>
      </c>
      <c r="M17" s="32" t="n">
        <f aca="false">IF(OR($B17="",$B17&lt;=0,T17="",U17=""),0,IF(AND(10&gt;0,MOD(10,ROUND($B17,0))=0),T17*U17,0))</f>
        <v>0</v>
      </c>
      <c r="N17" s="32" t="n">
        <f aca="false">IF(OR($B17="",$B17&lt;=0,T17="",U17=""),0,IF(AND(11&gt;0,MOD(11,ROUND($B17,0))=0),T17*U17,0))</f>
        <v>0</v>
      </c>
      <c r="O17" s="32" t="n">
        <f aca="false">IF(OR($B17="",$B17&lt;=0,T17="",U17=""),0,IF(AND(12&gt;0,MOD(12,ROUND($B17,0))=0),T17*U17,0))</f>
        <v>0</v>
      </c>
      <c r="P17" s="32" t="n">
        <f aca="false">IF(OR($B17="",$B17&lt;=0,T17="",U17=""),0,IF(AND(13&gt;0,MOD(13,ROUND($B17,0))=0),T17*U17,0))</f>
        <v>0</v>
      </c>
      <c r="Q17" s="32" t="n">
        <f aca="false">IF(OR($B17="",$B17&lt;=0,T17="",U17=""),0,IF(AND(14&gt;0,MOD(14,ROUND($B17,0))=0),T17*U17,0))</f>
        <v>0</v>
      </c>
      <c r="R17" s="32" t="n">
        <f aca="false">IF(OR($B17="",$B17&lt;=0,T17="",U17=""),0,IF(AND(15&gt;0,MOD(15,ROUND($B17,0))=0),T17*U17,0))</f>
        <v>0</v>
      </c>
      <c r="S17" s="33" t="n">
        <f aca="false">SUM(C17:R17)</f>
        <v>0</v>
      </c>
      <c r="T17" s="28"/>
      <c r="U17" s="34"/>
    </row>
    <row r="18" customFormat="false" ht="15" hidden="false" customHeight="false" outlineLevel="0" collapsed="false">
      <c r="A18" s="17" t="s">
        <v>399</v>
      </c>
      <c r="B18" s="31"/>
      <c r="C18" s="32" t="n">
        <f aca="false">IF(OR($B18="",$B18&lt;=0,T18="",U18=""),0,IF(AND(0&gt;0,MOD(0,ROUND($B18,0))=0),T18*U18,0))</f>
        <v>0</v>
      </c>
      <c r="D18" s="32" t="n">
        <f aca="false">IF(OR($B18="",$B18&lt;=0,T18="",U18=""),0,IF(AND(1&gt;0,MOD(1,ROUND($B18,0))=0),T18*U18,0))</f>
        <v>0</v>
      </c>
      <c r="E18" s="32" t="n">
        <f aca="false">IF(OR($B18="",$B18&lt;=0,T18="",U18=""),0,IF(AND(2&gt;0,MOD(2,ROUND($B18,0))=0),T18*U18,0))</f>
        <v>0</v>
      </c>
      <c r="F18" s="32" t="n">
        <f aca="false">IF(OR($B18="",$B18&lt;=0,T18="",U18=""),0,IF(AND(3&gt;0,MOD(3,ROUND($B18,0))=0),T18*U18,0))</f>
        <v>0</v>
      </c>
      <c r="G18" s="32" t="n">
        <f aca="false">IF(OR($B18="",$B18&lt;=0,T18="",U18=""),0,IF(AND(4&gt;0,MOD(4,ROUND($B18,0))=0),T18*U18,0))</f>
        <v>0</v>
      </c>
      <c r="H18" s="32" t="n">
        <f aca="false">IF(OR($B18="",$B18&lt;=0,T18="",U18=""),0,IF(AND(5&gt;0,MOD(5,ROUND($B18,0))=0),T18*U18,0))</f>
        <v>0</v>
      </c>
      <c r="I18" s="32" t="n">
        <f aca="false">IF(OR($B18="",$B18&lt;=0,T18="",U18=""),0,IF(AND(6&gt;0,MOD(6,ROUND($B18,0))=0),T18*U18,0))</f>
        <v>0</v>
      </c>
      <c r="J18" s="32" t="n">
        <f aca="false">IF(OR($B18="",$B18&lt;=0,T18="",U18=""),0,IF(AND(7&gt;0,MOD(7,ROUND($B18,0))=0),T18*U18,0))</f>
        <v>0</v>
      </c>
      <c r="K18" s="32" t="n">
        <f aca="false">IF(OR($B18="",$B18&lt;=0,T18="",U18=""),0,IF(AND(8&gt;0,MOD(8,ROUND($B18,0))=0),T18*U18,0))</f>
        <v>0</v>
      </c>
      <c r="L18" s="32" t="n">
        <f aca="false">IF(OR($B18="",$B18&lt;=0,T18="",U18=""),0,IF(AND(9&gt;0,MOD(9,ROUND($B18,0))=0),T18*U18,0))</f>
        <v>0</v>
      </c>
      <c r="M18" s="32" t="n">
        <f aca="false">IF(OR($B18="",$B18&lt;=0,T18="",U18=""),0,IF(AND(10&gt;0,MOD(10,ROUND($B18,0))=0),T18*U18,0))</f>
        <v>0</v>
      </c>
      <c r="N18" s="32" t="n">
        <f aca="false">IF(OR($B18="",$B18&lt;=0,T18="",U18=""),0,IF(AND(11&gt;0,MOD(11,ROUND($B18,0))=0),T18*U18,0))</f>
        <v>0</v>
      </c>
      <c r="O18" s="32" t="n">
        <f aca="false">IF(OR($B18="",$B18&lt;=0,T18="",U18=""),0,IF(AND(12&gt;0,MOD(12,ROUND($B18,0))=0),T18*U18,0))</f>
        <v>0</v>
      </c>
      <c r="P18" s="32" t="n">
        <f aca="false">IF(OR($B18="",$B18&lt;=0,T18="",U18=""),0,IF(AND(13&gt;0,MOD(13,ROUND($B18,0))=0),T18*U18,0))</f>
        <v>0</v>
      </c>
      <c r="Q18" s="32" t="n">
        <f aca="false">IF(OR($B18="",$B18&lt;=0,T18="",U18=""),0,IF(AND(14&gt;0,MOD(14,ROUND($B18,0))=0),T18*U18,0))</f>
        <v>0</v>
      </c>
      <c r="R18" s="32" t="n">
        <f aca="false">IF(OR($B18="",$B18&lt;=0,T18="",U18=""),0,IF(AND(15&gt;0,MOD(15,ROUND($B18,0))=0),T18*U18,0))</f>
        <v>0</v>
      </c>
      <c r="S18" s="33" t="n">
        <f aca="false">SUM(C18:R18)</f>
        <v>0</v>
      </c>
      <c r="T18" s="28"/>
      <c r="U18" s="34"/>
    </row>
    <row r="21" customFormat="false" ht="30" hidden="false" customHeight="true" outlineLevel="0" collapsed="false">
      <c r="A21" s="6" t="s">
        <v>400</v>
      </c>
      <c r="B21" s="6" t="s">
        <v>401</v>
      </c>
      <c r="C21" s="6" t="s">
        <v>373</v>
      </c>
      <c r="D21" s="6" t="s">
        <v>374</v>
      </c>
      <c r="E21" s="6" t="s">
        <v>375</v>
      </c>
      <c r="F21" s="6" t="s">
        <v>376</v>
      </c>
      <c r="G21" s="6" t="s">
        <v>377</v>
      </c>
      <c r="H21" s="6" t="s">
        <v>378</v>
      </c>
      <c r="I21" s="6" t="s">
        <v>379</v>
      </c>
      <c r="J21" s="6" t="s">
        <v>380</v>
      </c>
      <c r="K21" s="6" t="s">
        <v>381</v>
      </c>
      <c r="L21" s="6" t="s">
        <v>382</v>
      </c>
      <c r="M21" s="6" t="s">
        <v>383</v>
      </c>
      <c r="N21" s="6" t="s">
        <v>384</v>
      </c>
      <c r="O21" s="6" t="s">
        <v>385</v>
      </c>
      <c r="P21" s="6" t="s">
        <v>386</v>
      </c>
      <c r="Q21" s="6" t="s">
        <v>387</v>
      </c>
      <c r="R21" s="6" t="s">
        <v>388</v>
      </c>
      <c r="S21" s="6" t="s">
        <v>389</v>
      </c>
    </row>
    <row r="22" customFormat="false" ht="15" hidden="false" customHeight="false" outlineLevel="0" collapsed="false">
      <c r="A22" s="12" t="s">
        <v>402</v>
      </c>
    </row>
    <row r="23" customFormat="false" ht="15" hidden="false" customHeight="false" outlineLevel="0" collapsed="false">
      <c r="A23" s="8" t="s">
        <v>403</v>
      </c>
      <c r="B23" s="8" t="s">
        <v>404</v>
      </c>
      <c r="C23" s="34"/>
      <c r="D23" s="34"/>
      <c r="E23" s="34"/>
      <c r="F23" s="34"/>
      <c r="G23" s="34"/>
      <c r="H23" s="34"/>
      <c r="I23" s="34"/>
      <c r="J23" s="34"/>
      <c r="K23" s="34"/>
      <c r="L23" s="34"/>
      <c r="M23" s="34"/>
      <c r="N23" s="34"/>
      <c r="O23" s="34"/>
      <c r="P23" s="34"/>
      <c r="Q23" s="34"/>
      <c r="R23" s="34"/>
      <c r="S23" s="33" t="n">
        <f aca="false">SUM(C23:R23)</f>
        <v>0</v>
      </c>
    </row>
    <row r="24" customFormat="false" ht="15" hidden="false" customHeight="false" outlineLevel="0" collapsed="false">
      <c r="A24" s="8" t="s">
        <v>405</v>
      </c>
      <c r="B24" s="8" t="s">
        <v>404</v>
      </c>
      <c r="C24" s="34"/>
      <c r="D24" s="34"/>
      <c r="E24" s="34"/>
      <c r="F24" s="34"/>
      <c r="G24" s="34"/>
      <c r="H24" s="34"/>
      <c r="I24" s="34"/>
      <c r="J24" s="34"/>
      <c r="K24" s="34"/>
      <c r="L24" s="34"/>
      <c r="M24" s="34"/>
      <c r="N24" s="34"/>
      <c r="O24" s="34"/>
      <c r="P24" s="34"/>
      <c r="Q24" s="34"/>
      <c r="R24" s="34"/>
      <c r="S24" s="33" t="n">
        <f aca="false">SUM(C24:R24)</f>
        <v>0</v>
      </c>
    </row>
    <row r="25" customFormat="false" ht="15" hidden="false" customHeight="false" outlineLevel="0" collapsed="false">
      <c r="A25" s="8" t="s">
        <v>406</v>
      </c>
      <c r="B25" s="8" t="s">
        <v>404</v>
      </c>
      <c r="C25" s="34"/>
      <c r="D25" s="34"/>
      <c r="E25" s="34"/>
      <c r="F25" s="34"/>
      <c r="G25" s="34"/>
      <c r="H25" s="34"/>
      <c r="I25" s="34"/>
      <c r="J25" s="34"/>
      <c r="K25" s="34"/>
      <c r="L25" s="34"/>
      <c r="M25" s="34"/>
      <c r="N25" s="34"/>
      <c r="O25" s="34"/>
      <c r="P25" s="34"/>
      <c r="Q25" s="34"/>
      <c r="R25" s="34"/>
      <c r="S25" s="33" t="n">
        <f aca="false">SUM(C25:R25)</f>
        <v>0</v>
      </c>
    </row>
    <row r="26" customFormat="false" ht="15" hidden="false" customHeight="false" outlineLevel="0" collapsed="false">
      <c r="A26" s="8" t="s">
        <v>407</v>
      </c>
      <c r="B26" s="8" t="s">
        <v>404</v>
      </c>
      <c r="C26" s="34"/>
      <c r="D26" s="34"/>
      <c r="E26" s="34"/>
      <c r="F26" s="34"/>
      <c r="G26" s="34"/>
      <c r="H26" s="34"/>
      <c r="I26" s="34"/>
      <c r="J26" s="34"/>
      <c r="K26" s="34"/>
      <c r="L26" s="34"/>
      <c r="M26" s="34"/>
      <c r="N26" s="34"/>
      <c r="O26" s="34"/>
      <c r="P26" s="34"/>
      <c r="Q26" s="34"/>
      <c r="R26" s="34"/>
      <c r="S26" s="33" t="n">
        <f aca="false">SUM(C26:R26)</f>
        <v>0</v>
      </c>
    </row>
    <row r="27" customFormat="false" ht="15" hidden="false" customHeight="false" outlineLevel="0" collapsed="false">
      <c r="A27" s="8" t="s">
        <v>408</v>
      </c>
      <c r="B27" s="8" t="s">
        <v>404</v>
      </c>
      <c r="C27" s="34"/>
      <c r="D27" s="34"/>
      <c r="E27" s="34"/>
      <c r="F27" s="34"/>
      <c r="G27" s="34"/>
      <c r="H27" s="34"/>
      <c r="I27" s="34"/>
      <c r="J27" s="34"/>
      <c r="K27" s="34"/>
      <c r="L27" s="34"/>
      <c r="M27" s="34"/>
      <c r="N27" s="34"/>
      <c r="O27" s="34"/>
      <c r="P27" s="34"/>
      <c r="Q27" s="34"/>
      <c r="R27" s="34"/>
      <c r="S27" s="33" t="n">
        <f aca="false">SUM(C27:R27)</f>
        <v>0</v>
      </c>
    </row>
    <row r="28" customFormat="false" ht="22.35" hidden="false" customHeight="false" outlineLevel="0" collapsed="false">
      <c r="A28" s="8" t="s">
        <v>409</v>
      </c>
      <c r="B28" s="8" t="s">
        <v>404</v>
      </c>
      <c r="C28" s="34"/>
      <c r="D28" s="34"/>
      <c r="E28" s="34"/>
      <c r="F28" s="34"/>
      <c r="G28" s="34"/>
      <c r="H28" s="34"/>
      <c r="I28" s="34"/>
      <c r="J28" s="34"/>
      <c r="K28" s="34"/>
      <c r="L28" s="34"/>
      <c r="M28" s="34"/>
      <c r="N28" s="34"/>
      <c r="O28" s="34"/>
      <c r="P28" s="34"/>
      <c r="Q28" s="34"/>
      <c r="R28" s="34"/>
      <c r="S28" s="33" t="n">
        <f aca="false">SUM(C28:R28)</f>
        <v>0</v>
      </c>
    </row>
    <row r="29" customFormat="false" ht="15" hidden="false" customHeight="false" outlineLevel="0" collapsed="false">
      <c r="A29" s="8" t="s">
        <v>410</v>
      </c>
      <c r="B29" s="8" t="s">
        <v>404</v>
      </c>
      <c r="C29" s="34"/>
      <c r="D29" s="34"/>
      <c r="E29" s="34"/>
      <c r="F29" s="34"/>
      <c r="G29" s="34"/>
      <c r="H29" s="34"/>
      <c r="I29" s="34"/>
      <c r="J29" s="34"/>
      <c r="K29" s="34"/>
      <c r="L29" s="34"/>
      <c r="M29" s="34"/>
      <c r="N29" s="34"/>
      <c r="O29" s="34"/>
      <c r="P29" s="34"/>
      <c r="Q29" s="34"/>
      <c r="R29" s="34"/>
      <c r="S29" s="33" t="n">
        <f aca="false">SUM(C29:R29)</f>
        <v>0</v>
      </c>
    </row>
    <row r="30" customFormat="false" ht="15" hidden="false" customHeight="false" outlineLevel="0" collapsed="false">
      <c r="A30" s="8" t="s">
        <v>411</v>
      </c>
      <c r="B30" s="8" t="s">
        <v>404</v>
      </c>
      <c r="C30" s="34"/>
      <c r="D30" s="34"/>
      <c r="E30" s="34"/>
      <c r="F30" s="34"/>
      <c r="G30" s="34"/>
      <c r="H30" s="34"/>
      <c r="I30" s="34"/>
      <c r="J30" s="34"/>
      <c r="K30" s="34"/>
      <c r="L30" s="34"/>
      <c r="M30" s="34"/>
      <c r="N30" s="34"/>
      <c r="O30" s="34"/>
      <c r="P30" s="34"/>
      <c r="Q30" s="34"/>
      <c r="R30" s="34"/>
      <c r="S30" s="33" t="n">
        <f aca="false">SUM(C30:R30)</f>
        <v>0</v>
      </c>
    </row>
    <row r="31" customFormat="false" ht="15" hidden="false" customHeight="false" outlineLevel="0" collapsed="false">
      <c r="A31" s="8" t="s">
        <v>412</v>
      </c>
      <c r="B31" s="8" t="s">
        <v>413</v>
      </c>
      <c r="C31" s="34"/>
      <c r="D31" s="34"/>
      <c r="E31" s="34"/>
      <c r="F31" s="34"/>
      <c r="G31" s="34"/>
      <c r="H31" s="34"/>
      <c r="I31" s="34"/>
      <c r="J31" s="34"/>
      <c r="K31" s="34"/>
      <c r="L31" s="34"/>
      <c r="M31" s="34"/>
      <c r="N31" s="34"/>
      <c r="O31" s="34"/>
      <c r="P31" s="34"/>
      <c r="Q31" s="34"/>
      <c r="R31" s="34"/>
      <c r="S31" s="33" t="n">
        <f aca="false">SUM(C31:R31)</f>
        <v>0</v>
      </c>
    </row>
    <row r="32" customFormat="false" ht="15" hidden="false" customHeight="false" outlineLevel="0" collapsed="false">
      <c r="A32" s="8" t="s">
        <v>414</v>
      </c>
      <c r="B32" s="8" t="s">
        <v>413</v>
      </c>
      <c r="C32" s="34"/>
      <c r="D32" s="34"/>
      <c r="E32" s="34"/>
      <c r="F32" s="34"/>
      <c r="G32" s="34"/>
      <c r="H32" s="34"/>
      <c r="I32" s="34"/>
      <c r="J32" s="34"/>
      <c r="K32" s="34"/>
      <c r="L32" s="34"/>
      <c r="M32" s="34"/>
      <c r="N32" s="34"/>
      <c r="O32" s="34"/>
      <c r="P32" s="34"/>
      <c r="Q32" s="34"/>
      <c r="R32" s="34"/>
      <c r="S32" s="33" t="n">
        <f aca="false">SUM(C32:R32)</f>
        <v>0</v>
      </c>
    </row>
    <row r="33" customFormat="false" ht="15" hidden="false" customHeight="false" outlineLevel="0" collapsed="false">
      <c r="A33" s="8" t="s">
        <v>415</v>
      </c>
      <c r="B33" s="8" t="s">
        <v>413</v>
      </c>
      <c r="C33" s="34"/>
      <c r="D33" s="34"/>
      <c r="E33" s="34"/>
      <c r="F33" s="34"/>
      <c r="G33" s="34"/>
      <c r="H33" s="34"/>
      <c r="I33" s="34"/>
      <c r="J33" s="34"/>
      <c r="K33" s="34"/>
      <c r="L33" s="34"/>
      <c r="M33" s="34"/>
      <c r="N33" s="34"/>
      <c r="O33" s="34"/>
      <c r="P33" s="34"/>
      <c r="Q33" s="34"/>
      <c r="R33" s="34"/>
      <c r="S33" s="33" t="n">
        <f aca="false">SUM(C33:R33)</f>
        <v>0</v>
      </c>
    </row>
    <row r="34" customFormat="false" ht="15" hidden="false" customHeight="false" outlineLevel="0" collapsed="false">
      <c r="A34" s="8" t="s">
        <v>416</v>
      </c>
      <c r="B34" s="8" t="s">
        <v>413</v>
      </c>
      <c r="C34" s="34"/>
      <c r="D34" s="34"/>
      <c r="E34" s="34"/>
      <c r="F34" s="34"/>
      <c r="G34" s="34"/>
      <c r="H34" s="34"/>
      <c r="I34" s="34"/>
      <c r="J34" s="34"/>
      <c r="K34" s="34"/>
      <c r="L34" s="34"/>
      <c r="M34" s="34"/>
      <c r="N34" s="34"/>
      <c r="O34" s="34"/>
      <c r="P34" s="34"/>
      <c r="Q34" s="34"/>
      <c r="R34" s="34"/>
      <c r="S34" s="33" t="n">
        <f aca="false">SUM(C34:R34)</f>
        <v>0</v>
      </c>
    </row>
    <row r="35" customFormat="false" ht="15" hidden="false" customHeight="false" outlineLevel="0" collapsed="false">
      <c r="A35" s="8" t="s">
        <v>417</v>
      </c>
      <c r="B35" s="8" t="s">
        <v>413</v>
      </c>
      <c r="C35" s="34"/>
      <c r="D35" s="34"/>
      <c r="E35" s="34"/>
      <c r="F35" s="34"/>
      <c r="G35" s="34"/>
      <c r="H35" s="34"/>
      <c r="I35" s="34"/>
      <c r="J35" s="34"/>
      <c r="K35" s="34"/>
      <c r="L35" s="34"/>
      <c r="M35" s="34"/>
      <c r="N35" s="34"/>
      <c r="O35" s="34"/>
      <c r="P35" s="34"/>
      <c r="Q35" s="34"/>
      <c r="R35" s="34"/>
      <c r="S35" s="33" t="n">
        <f aca="false">SUM(C35:R35)</f>
        <v>0</v>
      </c>
    </row>
    <row r="36" customFormat="false" ht="22.35" hidden="false" customHeight="false" outlineLevel="0" collapsed="false">
      <c r="A36" s="8" t="s">
        <v>418</v>
      </c>
      <c r="B36" s="8" t="s">
        <v>419</v>
      </c>
      <c r="C36" s="32" t="n">
        <f aca="false">SUM(C11:C18)</f>
        <v>0</v>
      </c>
      <c r="D36" s="32" t="n">
        <f aca="false">SUM(D11:D18)</f>
        <v>0</v>
      </c>
      <c r="E36" s="32" t="n">
        <f aca="false">SUM(E11:E18)</f>
        <v>0</v>
      </c>
      <c r="F36" s="32" t="n">
        <f aca="false">SUM(F11:F18)</f>
        <v>0</v>
      </c>
      <c r="G36" s="32" t="n">
        <f aca="false">SUM(G11:G18)</f>
        <v>0</v>
      </c>
      <c r="H36" s="32" t="n">
        <f aca="false">SUM(H11:H18)</f>
        <v>0</v>
      </c>
      <c r="I36" s="32" t="n">
        <f aca="false">SUM(I11:I18)</f>
        <v>0</v>
      </c>
      <c r="J36" s="32" t="n">
        <f aca="false">SUM(J11:J18)</f>
        <v>0</v>
      </c>
      <c r="K36" s="32" t="n">
        <f aca="false">SUM(K11:K18)</f>
        <v>0</v>
      </c>
      <c r="L36" s="32" t="n">
        <f aca="false">SUM(L11:L18)</f>
        <v>0</v>
      </c>
      <c r="M36" s="32" t="n">
        <f aca="false">SUM(M11:M18)</f>
        <v>0</v>
      </c>
      <c r="N36" s="32" t="n">
        <f aca="false">SUM(N11:N18)</f>
        <v>0</v>
      </c>
      <c r="O36" s="32" t="n">
        <f aca="false">SUM(O11:O18)</f>
        <v>0</v>
      </c>
      <c r="P36" s="32" t="n">
        <f aca="false">SUM(P11:P18)</f>
        <v>0</v>
      </c>
      <c r="Q36" s="32" t="n">
        <f aca="false">SUM(Q11:Q18)</f>
        <v>0</v>
      </c>
      <c r="R36" s="32" t="n">
        <f aca="false">SUM(R11:R18)</f>
        <v>0</v>
      </c>
      <c r="S36" s="33" t="n">
        <f aca="false">SUM(C36:R36)</f>
        <v>0</v>
      </c>
    </row>
    <row r="37" customFormat="false" ht="15" hidden="false" customHeight="false" outlineLevel="0" collapsed="false">
      <c r="A37" s="8" t="s">
        <v>420</v>
      </c>
      <c r="B37" s="8" t="s">
        <v>421</v>
      </c>
      <c r="C37" s="34"/>
      <c r="D37" s="34"/>
      <c r="E37" s="34"/>
      <c r="F37" s="34"/>
      <c r="G37" s="34"/>
      <c r="H37" s="34"/>
      <c r="I37" s="34"/>
      <c r="J37" s="34"/>
      <c r="K37" s="34"/>
      <c r="L37" s="34"/>
      <c r="M37" s="34"/>
      <c r="N37" s="34"/>
      <c r="O37" s="34"/>
      <c r="P37" s="34"/>
      <c r="Q37" s="34"/>
      <c r="R37" s="34"/>
      <c r="S37" s="33" t="n">
        <f aca="false">SUM(C37:R37)</f>
        <v>0</v>
      </c>
    </row>
    <row r="38" customFormat="false" ht="15" hidden="false" customHeight="false" outlineLevel="0" collapsed="false">
      <c r="A38" s="8" t="s">
        <v>422</v>
      </c>
      <c r="B38" s="8" t="s">
        <v>423</v>
      </c>
      <c r="C38" s="34"/>
      <c r="D38" s="34"/>
      <c r="E38" s="34"/>
      <c r="F38" s="34"/>
      <c r="G38" s="34"/>
      <c r="H38" s="34"/>
      <c r="I38" s="34"/>
      <c r="J38" s="34"/>
      <c r="K38" s="34"/>
      <c r="L38" s="34"/>
      <c r="M38" s="34"/>
      <c r="N38" s="34"/>
      <c r="O38" s="34"/>
      <c r="P38" s="34"/>
      <c r="Q38" s="34"/>
      <c r="R38" s="34"/>
      <c r="S38" s="33" t="n">
        <f aca="false">SUM(C38:R38)</f>
        <v>0</v>
      </c>
    </row>
    <row r="39" customFormat="false" ht="15" hidden="false" customHeight="false" outlineLevel="0" collapsed="false">
      <c r="A39" s="8" t="s">
        <v>424</v>
      </c>
      <c r="B39" s="8" t="s">
        <v>423</v>
      </c>
      <c r="C39" s="34"/>
      <c r="D39" s="34"/>
      <c r="E39" s="34"/>
      <c r="F39" s="34"/>
      <c r="G39" s="34"/>
      <c r="H39" s="34"/>
      <c r="I39" s="34"/>
      <c r="J39" s="34"/>
      <c r="K39" s="34"/>
      <c r="L39" s="34"/>
      <c r="M39" s="34"/>
      <c r="N39" s="34"/>
      <c r="O39" s="34"/>
      <c r="P39" s="34"/>
      <c r="Q39" s="34"/>
      <c r="R39" s="34"/>
      <c r="S39" s="33" t="n">
        <f aca="false">SUM(C39:R39)</f>
        <v>0</v>
      </c>
    </row>
    <row r="40" customFormat="false" ht="15" hidden="false" customHeight="false" outlineLevel="0" collapsed="false">
      <c r="A40" s="8" t="s">
        <v>425</v>
      </c>
      <c r="B40" s="8" t="s">
        <v>404</v>
      </c>
      <c r="C40" s="34"/>
      <c r="D40" s="34"/>
      <c r="E40" s="34"/>
      <c r="F40" s="34"/>
      <c r="G40" s="34"/>
      <c r="H40" s="34"/>
      <c r="I40" s="34"/>
      <c r="J40" s="34"/>
      <c r="K40" s="34"/>
      <c r="L40" s="34"/>
      <c r="M40" s="34"/>
      <c r="N40" s="34"/>
      <c r="O40" s="34"/>
      <c r="P40" s="34"/>
      <c r="Q40" s="34"/>
      <c r="R40" s="34"/>
      <c r="S40" s="33" t="n">
        <f aca="false">SUM(C40:R40)</f>
        <v>0</v>
      </c>
    </row>
    <row r="41" customFormat="false" ht="15" hidden="false" customHeight="false" outlineLevel="0" collapsed="false">
      <c r="A41" s="12" t="s">
        <v>426</v>
      </c>
      <c r="B41" s="8"/>
      <c r="C41" s="33" t="n">
        <f aca="false">SUM(C23:C40)</f>
        <v>0</v>
      </c>
      <c r="D41" s="33" t="n">
        <f aca="false">SUM(D23:D40)</f>
        <v>0</v>
      </c>
      <c r="E41" s="33" t="n">
        <f aca="false">SUM(E23:E40)</f>
        <v>0</v>
      </c>
      <c r="F41" s="33" t="n">
        <f aca="false">SUM(F23:F40)</f>
        <v>0</v>
      </c>
      <c r="G41" s="33" t="n">
        <f aca="false">SUM(G23:G40)</f>
        <v>0</v>
      </c>
      <c r="H41" s="33" t="n">
        <f aca="false">SUM(H23:H40)</f>
        <v>0</v>
      </c>
      <c r="I41" s="33" t="n">
        <f aca="false">SUM(I23:I40)</f>
        <v>0</v>
      </c>
      <c r="J41" s="33" t="n">
        <f aca="false">SUM(J23:J40)</f>
        <v>0</v>
      </c>
      <c r="K41" s="33" t="n">
        <f aca="false">SUM(K23:K40)</f>
        <v>0</v>
      </c>
      <c r="L41" s="33" t="n">
        <f aca="false">SUM(L23:L40)</f>
        <v>0</v>
      </c>
      <c r="M41" s="33" t="n">
        <f aca="false">SUM(M23:M40)</f>
        <v>0</v>
      </c>
      <c r="N41" s="33" t="n">
        <f aca="false">SUM(N23:N40)</f>
        <v>0</v>
      </c>
      <c r="O41" s="33" t="n">
        <f aca="false">SUM(O23:O40)</f>
        <v>0</v>
      </c>
      <c r="P41" s="33" t="n">
        <f aca="false">SUM(P23:P40)</f>
        <v>0</v>
      </c>
      <c r="Q41" s="33" t="n">
        <f aca="false">SUM(Q23:Q40)</f>
        <v>0</v>
      </c>
      <c r="R41" s="33" t="n">
        <f aca="false">SUM(R23:R40)</f>
        <v>0</v>
      </c>
      <c r="S41" s="33" t="n">
        <f aca="false">SUM(S23:S40)</f>
        <v>0</v>
      </c>
    </row>
    <row r="43" customFormat="false" ht="15" hidden="false" customHeight="false" outlineLevel="0" collapsed="false">
      <c r="A43" s="12" t="s">
        <v>427</v>
      </c>
    </row>
    <row r="44" customFormat="false" ht="15" hidden="false" customHeight="false" outlineLevel="0" collapsed="false">
      <c r="A44" s="8" t="s">
        <v>428</v>
      </c>
      <c r="B44" s="8" t="s">
        <v>429</v>
      </c>
      <c r="C44" s="34"/>
      <c r="D44" s="34"/>
      <c r="E44" s="34"/>
      <c r="F44" s="34"/>
      <c r="G44" s="34"/>
      <c r="H44" s="34"/>
      <c r="I44" s="34"/>
      <c r="J44" s="34"/>
      <c r="K44" s="34"/>
      <c r="L44" s="34"/>
      <c r="M44" s="34"/>
      <c r="N44" s="34"/>
      <c r="O44" s="34"/>
      <c r="P44" s="34"/>
      <c r="Q44" s="34"/>
      <c r="R44" s="34"/>
      <c r="S44" s="33" t="n">
        <f aca="false">SUM(C44:R44)</f>
        <v>0</v>
      </c>
    </row>
    <row r="45" customFormat="false" ht="15" hidden="false" customHeight="false" outlineLevel="0" collapsed="false">
      <c r="A45" s="8" t="s">
        <v>430</v>
      </c>
      <c r="B45" s="8" t="s">
        <v>429</v>
      </c>
      <c r="C45" s="34"/>
      <c r="D45" s="34"/>
      <c r="E45" s="34"/>
      <c r="F45" s="34"/>
      <c r="G45" s="34"/>
      <c r="H45" s="34"/>
      <c r="I45" s="34"/>
      <c r="J45" s="34"/>
      <c r="K45" s="34"/>
      <c r="L45" s="34"/>
      <c r="M45" s="34"/>
      <c r="N45" s="34"/>
      <c r="O45" s="34"/>
      <c r="P45" s="34"/>
      <c r="Q45" s="34"/>
      <c r="R45" s="34"/>
      <c r="S45" s="33" t="n">
        <f aca="false">SUM(C45:R45)</f>
        <v>0</v>
      </c>
    </row>
    <row r="46" customFormat="false" ht="15" hidden="false" customHeight="false" outlineLevel="0" collapsed="false">
      <c r="A46" s="8" t="s">
        <v>431</v>
      </c>
      <c r="B46" s="8" t="s">
        <v>429</v>
      </c>
      <c r="C46" s="34"/>
      <c r="D46" s="34"/>
      <c r="E46" s="34"/>
      <c r="F46" s="34"/>
      <c r="G46" s="34"/>
      <c r="H46" s="34"/>
      <c r="I46" s="34"/>
      <c r="J46" s="34"/>
      <c r="K46" s="34"/>
      <c r="L46" s="34"/>
      <c r="M46" s="34"/>
      <c r="N46" s="34"/>
      <c r="O46" s="34"/>
      <c r="P46" s="34"/>
      <c r="Q46" s="34"/>
      <c r="R46" s="34"/>
      <c r="S46" s="33" t="n">
        <f aca="false">SUM(C46:R46)</f>
        <v>0</v>
      </c>
    </row>
    <row r="47" customFormat="false" ht="15" hidden="false" customHeight="false" outlineLevel="0" collapsed="false">
      <c r="A47" s="8" t="s">
        <v>432</v>
      </c>
      <c r="B47" s="8" t="s">
        <v>429</v>
      </c>
      <c r="C47" s="34"/>
      <c r="D47" s="34"/>
      <c r="E47" s="34"/>
      <c r="F47" s="34"/>
      <c r="G47" s="34"/>
      <c r="H47" s="34"/>
      <c r="I47" s="34"/>
      <c r="J47" s="34"/>
      <c r="K47" s="34"/>
      <c r="L47" s="34"/>
      <c r="M47" s="34"/>
      <c r="N47" s="34"/>
      <c r="O47" s="34"/>
      <c r="P47" s="34"/>
      <c r="Q47" s="34"/>
      <c r="R47" s="34"/>
      <c r="S47" s="33" t="n">
        <f aca="false">SUM(C47:R47)</f>
        <v>0</v>
      </c>
    </row>
    <row r="48" customFormat="false" ht="15" hidden="false" customHeight="false" outlineLevel="0" collapsed="false">
      <c r="A48" s="8" t="s">
        <v>433</v>
      </c>
      <c r="B48" s="8" t="s">
        <v>429</v>
      </c>
      <c r="C48" s="34"/>
      <c r="D48" s="34"/>
      <c r="E48" s="34"/>
      <c r="F48" s="34"/>
      <c r="G48" s="34"/>
      <c r="H48" s="34"/>
      <c r="I48" s="34"/>
      <c r="J48" s="34"/>
      <c r="K48" s="34"/>
      <c r="L48" s="34"/>
      <c r="M48" s="34"/>
      <c r="N48" s="34"/>
      <c r="O48" s="34"/>
      <c r="P48" s="34"/>
      <c r="Q48" s="34"/>
      <c r="R48" s="34"/>
      <c r="S48" s="33" t="n">
        <f aca="false">SUM(C48:R48)</f>
        <v>0</v>
      </c>
    </row>
    <row r="49" customFormat="false" ht="15" hidden="false" customHeight="false" outlineLevel="0" collapsed="false">
      <c r="A49" s="8" t="s">
        <v>434</v>
      </c>
      <c r="B49" s="8" t="s">
        <v>429</v>
      </c>
      <c r="C49" s="34"/>
      <c r="D49" s="34"/>
      <c r="E49" s="34"/>
      <c r="F49" s="34"/>
      <c r="G49" s="34"/>
      <c r="H49" s="34"/>
      <c r="I49" s="34"/>
      <c r="J49" s="34"/>
      <c r="K49" s="34"/>
      <c r="L49" s="34"/>
      <c r="M49" s="34"/>
      <c r="N49" s="34"/>
      <c r="O49" s="34"/>
      <c r="P49" s="34"/>
      <c r="Q49" s="34"/>
      <c r="R49" s="34"/>
      <c r="S49" s="33" t="n">
        <f aca="false">SUM(C49:R49)</f>
        <v>0</v>
      </c>
    </row>
    <row r="50" customFormat="false" ht="22.35" hidden="false" customHeight="false" outlineLevel="0" collapsed="false">
      <c r="A50" s="8" t="s">
        <v>435</v>
      </c>
      <c r="B50" s="8" t="s">
        <v>429</v>
      </c>
      <c r="C50" s="34"/>
      <c r="D50" s="34"/>
      <c r="E50" s="34"/>
      <c r="F50" s="34"/>
      <c r="G50" s="34"/>
      <c r="H50" s="34"/>
      <c r="I50" s="34"/>
      <c r="J50" s="34"/>
      <c r="K50" s="34"/>
      <c r="L50" s="34"/>
      <c r="M50" s="34"/>
      <c r="N50" s="34"/>
      <c r="O50" s="34"/>
      <c r="P50" s="34"/>
      <c r="Q50" s="34"/>
      <c r="R50" s="34"/>
      <c r="S50" s="33" t="n">
        <f aca="false">SUM(C50:R50)</f>
        <v>0</v>
      </c>
    </row>
    <row r="51" customFormat="false" ht="15" hidden="false" customHeight="false" outlineLevel="0" collapsed="false">
      <c r="A51" s="8" t="s">
        <v>436</v>
      </c>
      <c r="B51" s="8" t="s">
        <v>429</v>
      </c>
      <c r="C51" s="34"/>
      <c r="D51" s="34"/>
      <c r="E51" s="34"/>
      <c r="F51" s="34"/>
      <c r="G51" s="34"/>
      <c r="H51" s="34"/>
      <c r="I51" s="34"/>
      <c r="J51" s="34"/>
      <c r="K51" s="34"/>
      <c r="L51" s="34"/>
      <c r="M51" s="34"/>
      <c r="N51" s="34"/>
      <c r="O51" s="34"/>
      <c r="P51" s="34"/>
      <c r="Q51" s="34"/>
      <c r="R51" s="34"/>
      <c r="S51" s="33" t="n">
        <f aca="false">SUM(C51:R51)</f>
        <v>0</v>
      </c>
    </row>
    <row r="52" customFormat="false" ht="15" hidden="false" customHeight="false" outlineLevel="0" collapsed="false">
      <c r="A52" s="35" t="s">
        <v>437</v>
      </c>
      <c r="B52" s="8" t="s">
        <v>438</v>
      </c>
      <c r="C52" s="24"/>
      <c r="D52" s="24"/>
      <c r="E52" s="24"/>
      <c r="F52" s="24"/>
      <c r="G52" s="24"/>
      <c r="H52" s="24"/>
      <c r="I52" s="24"/>
      <c r="J52" s="24"/>
      <c r="K52" s="24"/>
      <c r="L52" s="24"/>
      <c r="M52" s="24"/>
      <c r="N52" s="24"/>
      <c r="O52" s="24"/>
      <c r="P52" s="24"/>
      <c r="Q52" s="24"/>
      <c r="R52" s="24"/>
    </row>
    <row r="53" customFormat="false" ht="15" hidden="false" customHeight="false" outlineLevel="0" collapsed="false">
      <c r="A53" s="12" t="s">
        <v>439</v>
      </c>
      <c r="B53" s="8"/>
      <c r="C53" s="33" t="n">
        <f aca="false">SUM(C44:C51)*IF(C52="",1,C52)</f>
        <v>0</v>
      </c>
      <c r="D53" s="33" t="n">
        <f aca="false">SUM(D44:D51)*IF(D52="",1,D52)</f>
        <v>0</v>
      </c>
      <c r="E53" s="33" t="n">
        <f aca="false">SUM(E44:E51)*IF(E52="",1,E52)</f>
        <v>0</v>
      </c>
      <c r="F53" s="33" t="n">
        <f aca="false">SUM(F44:F51)*IF(F52="",1,F52)</f>
        <v>0</v>
      </c>
      <c r="G53" s="33" t="n">
        <f aca="false">SUM(G44:G51)*IF(G52="",1,G52)</f>
        <v>0</v>
      </c>
      <c r="H53" s="33" t="n">
        <f aca="false">SUM(H44:H51)*IF(H52="",1,H52)</f>
        <v>0</v>
      </c>
      <c r="I53" s="33" t="n">
        <f aca="false">SUM(I44:I51)*IF(I52="",1,I52)</f>
        <v>0</v>
      </c>
      <c r="J53" s="33" t="n">
        <f aca="false">SUM(J44:J51)*IF(J52="",1,J52)</f>
        <v>0</v>
      </c>
      <c r="K53" s="33" t="n">
        <f aca="false">SUM(K44:K51)*IF(K52="",1,K52)</f>
        <v>0</v>
      </c>
      <c r="L53" s="33" t="n">
        <f aca="false">SUM(L44:L51)*IF(L52="",1,L52)</f>
        <v>0</v>
      </c>
      <c r="M53" s="33" t="n">
        <f aca="false">SUM(M44:M51)*IF(M52="",1,M52)</f>
        <v>0</v>
      </c>
      <c r="N53" s="33" t="n">
        <f aca="false">SUM(N44:N51)*IF(N52="",1,N52)</f>
        <v>0</v>
      </c>
      <c r="O53" s="33" t="n">
        <f aca="false">SUM(O44:O51)*IF(O52="",1,O52)</f>
        <v>0</v>
      </c>
      <c r="P53" s="33" t="n">
        <f aca="false">SUM(P44:P51)*IF(P52="",1,P52)</f>
        <v>0</v>
      </c>
      <c r="Q53" s="33" t="n">
        <f aca="false">SUM(Q44:Q51)*IF(Q52="",1,Q52)</f>
        <v>0</v>
      </c>
      <c r="R53" s="33" t="n">
        <f aca="false">SUM(R44:R51)*IF(R52="",1,R52)</f>
        <v>0</v>
      </c>
      <c r="S53" s="33" t="n">
        <f aca="false">SUM(C53:R53)</f>
        <v>0</v>
      </c>
    </row>
    <row r="55" customFormat="false" ht="15" hidden="false" customHeight="false" outlineLevel="0" collapsed="false">
      <c r="A55" s="12" t="s">
        <v>440</v>
      </c>
      <c r="B55" s="8"/>
      <c r="C55" s="33" t="n">
        <f aca="false">C53-C41</f>
        <v>0</v>
      </c>
      <c r="D55" s="33" t="n">
        <f aca="false">D53-D41</f>
        <v>0</v>
      </c>
      <c r="E55" s="33" t="n">
        <f aca="false">E53-E41</f>
        <v>0</v>
      </c>
      <c r="F55" s="33" t="n">
        <f aca="false">F53-F41</f>
        <v>0</v>
      </c>
      <c r="G55" s="33" t="n">
        <f aca="false">G53-G41</f>
        <v>0</v>
      </c>
      <c r="H55" s="33" t="n">
        <f aca="false">H53-H41</f>
        <v>0</v>
      </c>
      <c r="I55" s="33" t="n">
        <f aca="false">I53-I41</f>
        <v>0</v>
      </c>
      <c r="J55" s="33" t="n">
        <f aca="false">J53-J41</f>
        <v>0</v>
      </c>
      <c r="K55" s="33" t="n">
        <f aca="false">K53-K41</f>
        <v>0</v>
      </c>
      <c r="L55" s="33" t="n">
        <f aca="false">L53-L41</f>
        <v>0</v>
      </c>
      <c r="M55" s="33" t="n">
        <f aca="false">M53-M41</f>
        <v>0</v>
      </c>
      <c r="N55" s="33" t="n">
        <f aca="false">N53-N41</f>
        <v>0</v>
      </c>
      <c r="O55" s="33" t="n">
        <f aca="false">O53-O41</f>
        <v>0</v>
      </c>
      <c r="P55" s="33" t="n">
        <f aca="false">P53-P41</f>
        <v>0</v>
      </c>
      <c r="Q55" s="33" t="n">
        <f aca="false">Q53-Q41</f>
        <v>0</v>
      </c>
      <c r="R55" s="33" t="n">
        <f aca="false">R53-R41</f>
        <v>0</v>
      </c>
      <c r="S55" s="33" t="n">
        <f aca="false">S53-S41</f>
        <v>0</v>
      </c>
    </row>
    <row r="56" customFormat="false" ht="15" hidden="false" customHeight="false" outlineLevel="0" collapsed="false">
      <c r="A56" s="36" t="s">
        <v>441</v>
      </c>
      <c r="B56" s="8"/>
      <c r="C56" s="37" t="n">
        <f aca="false">1/(1+$B$5)^0</f>
        <v>1</v>
      </c>
      <c r="D56" s="37" t="n">
        <f aca="false">1/(1+$B$5)^1</f>
        <v>1</v>
      </c>
      <c r="E56" s="37" t="n">
        <f aca="false">1/(1+$B$5)^2</f>
        <v>1</v>
      </c>
      <c r="F56" s="37" t="n">
        <f aca="false">1/(1+$B$5)^3</f>
        <v>1</v>
      </c>
      <c r="G56" s="37" t="n">
        <f aca="false">1/(1+$B$5)^4</f>
        <v>1</v>
      </c>
      <c r="H56" s="37" t="n">
        <f aca="false">1/(1+$B$5)^5</f>
        <v>1</v>
      </c>
      <c r="I56" s="37" t="n">
        <f aca="false">1/(1+$B$5)^6</f>
        <v>1</v>
      </c>
      <c r="J56" s="37" t="n">
        <f aca="false">1/(1+$B$5)^7</f>
        <v>1</v>
      </c>
      <c r="K56" s="37" t="n">
        <f aca="false">1/(1+$B$5)^8</f>
        <v>1</v>
      </c>
      <c r="L56" s="37" t="n">
        <f aca="false">1/(1+$B$5)^9</f>
        <v>1</v>
      </c>
      <c r="M56" s="37" t="n">
        <f aca="false">1/(1+$B$5)^10</f>
        <v>1</v>
      </c>
      <c r="N56" s="37" t="n">
        <f aca="false">1/(1+$B$5)^11</f>
        <v>1</v>
      </c>
      <c r="O56" s="37" t="n">
        <f aca="false">1/(1+$B$5)^12</f>
        <v>1</v>
      </c>
      <c r="P56" s="37" t="n">
        <f aca="false">1/(1+$B$5)^13</f>
        <v>1</v>
      </c>
      <c r="Q56" s="37" t="n">
        <f aca="false">1/(1+$B$5)^14</f>
        <v>1</v>
      </c>
      <c r="R56" s="37" t="n">
        <f aca="false">1/(1+$B$5)^15</f>
        <v>1</v>
      </c>
    </row>
    <row r="57" customFormat="false" ht="15" hidden="false" customHeight="false" outlineLevel="0" collapsed="false">
      <c r="A57" s="36" t="s">
        <v>442</v>
      </c>
      <c r="B57" s="8"/>
      <c r="C57" s="32" t="n">
        <f aca="false">C55*C56</f>
        <v>0</v>
      </c>
      <c r="D57" s="32" t="n">
        <f aca="false">D55*D56</f>
        <v>0</v>
      </c>
      <c r="E57" s="32" t="n">
        <f aca="false">E55*E56</f>
        <v>0</v>
      </c>
      <c r="F57" s="32" t="n">
        <f aca="false">F55*F56</f>
        <v>0</v>
      </c>
      <c r="G57" s="32" t="n">
        <f aca="false">G55*G56</f>
        <v>0</v>
      </c>
      <c r="H57" s="32" t="n">
        <f aca="false">H55*H56</f>
        <v>0</v>
      </c>
      <c r="I57" s="32" t="n">
        <f aca="false">I55*I56</f>
        <v>0</v>
      </c>
      <c r="J57" s="32" t="n">
        <f aca="false">J55*J56</f>
        <v>0</v>
      </c>
      <c r="K57" s="32" t="n">
        <f aca="false">K55*K56</f>
        <v>0</v>
      </c>
      <c r="L57" s="32" t="n">
        <f aca="false">L55*L56</f>
        <v>0</v>
      </c>
      <c r="M57" s="32" t="n">
        <f aca="false">M55*M56</f>
        <v>0</v>
      </c>
      <c r="N57" s="32" t="n">
        <f aca="false">N55*N56</f>
        <v>0</v>
      </c>
      <c r="O57" s="32" t="n">
        <f aca="false">O55*O56</f>
        <v>0</v>
      </c>
      <c r="P57" s="32" t="n">
        <f aca="false">P55*P56</f>
        <v>0</v>
      </c>
      <c r="Q57" s="32" t="n">
        <f aca="false">Q55*Q56</f>
        <v>0</v>
      </c>
      <c r="R57" s="32" t="n">
        <f aca="false">R55*R56</f>
        <v>0</v>
      </c>
    </row>
    <row r="58" customFormat="false" ht="15" hidden="false" customHeight="false" outlineLevel="0" collapsed="false">
      <c r="A58" s="36" t="s">
        <v>443</v>
      </c>
      <c r="B58" s="8"/>
      <c r="C58" s="32" t="n">
        <f aca="false">C55</f>
        <v>0</v>
      </c>
      <c r="D58" s="32" t="n">
        <f aca="false">C58+D55</f>
        <v>0</v>
      </c>
      <c r="E58" s="32" t="n">
        <f aca="false">D58+E55</f>
        <v>0</v>
      </c>
      <c r="F58" s="32" t="n">
        <f aca="false">E58+F55</f>
        <v>0</v>
      </c>
      <c r="G58" s="32" t="n">
        <f aca="false">F58+G55</f>
        <v>0</v>
      </c>
      <c r="H58" s="32" t="n">
        <f aca="false">G58+H55</f>
        <v>0</v>
      </c>
      <c r="I58" s="32" t="n">
        <f aca="false">H58+I55</f>
        <v>0</v>
      </c>
      <c r="J58" s="32" t="n">
        <f aca="false">I58+J55</f>
        <v>0</v>
      </c>
      <c r="K58" s="32" t="n">
        <f aca="false">J58+K55</f>
        <v>0</v>
      </c>
      <c r="L58" s="32" t="n">
        <f aca="false">K58+L55</f>
        <v>0</v>
      </c>
      <c r="M58" s="32" t="n">
        <f aca="false">L58+M55</f>
        <v>0</v>
      </c>
      <c r="N58" s="32" t="n">
        <f aca="false">M58+N55</f>
        <v>0</v>
      </c>
      <c r="O58" s="32" t="n">
        <f aca="false">N58+O55</f>
        <v>0</v>
      </c>
      <c r="P58" s="32" t="n">
        <f aca="false">O58+P55</f>
        <v>0</v>
      </c>
      <c r="Q58" s="32" t="n">
        <f aca="false">P58+Q55</f>
        <v>0</v>
      </c>
      <c r="R58" s="32" t="n">
        <f aca="false">Q58+R55</f>
        <v>0</v>
      </c>
    </row>
    <row r="59" customFormat="false" ht="15" hidden="false" customHeight="false" outlineLevel="0" collapsed="false">
      <c r="A59" s="35" t="s">
        <v>444</v>
      </c>
      <c r="B59" s="8"/>
      <c r="C59" s="8" t="n">
        <f aca="false">IF(C58&gt;=0,0,"")</f>
        <v>0</v>
      </c>
      <c r="D59" s="8" t="str">
        <f aca="false">IF(AND(D58&gt;=0,C58&lt;0),1,"")</f>
        <v/>
      </c>
      <c r="E59" s="8" t="str">
        <f aca="false">IF(AND(E58&gt;=0,D58&lt;0),2,"")</f>
        <v/>
      </c>
      <c r="F59" s="8" t="str">
        <f aca="false">IF(AND(F58&gt;=0,E58&lt;0),3,"")</f>
        <v/>
      </c>
      <c r="G59" s="8" t="str">
        <f aca="false">IF(AND(G58&gt;=0,F58&lt;0),4,"")</f>
        <v/>
      </c>
      <c r="H59" s="8" t="str">
        <f aca="false">IF(AND(H58&gt;=0,G58&lt;0),5,"")</f>
        <v/>
      </c>
      <c r="I59" s="8" t="str">
        <f aca="false">IF(AND(I58&gt;=0,H58&lt;0),6,"")</f>
        <v/>
      </c>
      <c r="J59" s="8" t="str">
        <f aca="false">IF(AND(J58&gt;=0,I58&lt;0),7,"")</f>
        <v/>
      </c>
      <c r="K59" s="8" t="str">
        <f aca="false">IF(AND(K58&gt;=0,J58&lt;0),8,"")</f>
        <v/>
      </c>
      <c r="L59" s="8" t="str">
        <f aca="false">IF(AND(L58&gt;=0,K58&lt;0),9,"")</f>
        <v/>
      </c>
      <c r="M59" s="8" t="str">
        <f aca="false">IF(AND(M58&gt;=0,L58&lt;0),10,"")</f>
        <v/>
      </c>
      <c r="N59" s="8" t="str">
        <f aca="false">IF(AND(N58&gt;=0,M58&lt;0),11,"")</f>
        <v/>
      </c>
      <c r="O59" s="8" t="str">
        <f aca="false">IF(AND(O58&gt;=0,N58&lt;0),12,"")</f>
        <v/>
      </c>
      <c r="P59" s="8" t="str">
        <f aca="false">IF(AND(P58&gt;=0,O58&lt;0),13,"")</f>
        <v/>
      </c>
      <c r="Q59" s="8" t="str">
        <f aca="false">IF(AND(Q58&gt;=0,P58&lt;0),14,"")</f>
        <v/>
      </c>
      <c r="R59" s="8" t="str">
        <f aca="false">IF(AND(R58&gt;=0,Q58&lt;0),15,"")</f>
        <v/>
      </c>
    </row>
    <row r="61" customFormat="false" ht="15" hidden="false" customHeight="false" outlineLevel="0" collapsed="false">
      <c r="A61" s="12" t="s">
        <v>445</v>
      </c>
    </row>
    <row r="62" customFormat="false" ht="22.35" hidden="false" customHeight="false" outlineLevel="0" collapsed="false">
      <c r="A62" s="12" t="s">
        <v>446</v>
      </c>
      <c r="B62" s="33" t="str">
        <f aca="false">IF($B$5="","Enter discount rate",SUM(C57:R57))</f>
        <v>Enter discount rate</v>
      </c>
    </row>
    <row r="63" customFormat="false" ht="15" hidden="false" customHeight="false" outlineLevel="0" collapsed="false">
      <c r="A63" s="12" t="s">
        <v>447</v>
      </c>
      <c r="B63" s="20" t="str">
        <f aca="false">IFERROR(IRR(C55:R55),"n/a")</f>
        <v>n/a</v>
      </c>
    </row>
    <row r="64" customFormat="false" ht="15" hidden="false" customHeight="false" outlineLevel="0" collapsed="false">
      <c r="A64" s="12" t="s">
        <v>448</v>
      </c>
      <c r="B64" s="38" t="str">
        <f aca="false">IF(SUM(C41:R41)=0,"n/a",IF(COUNT(C59:R59)=0,"Not within 15 years",MIN(C59:R59)))</f>
        <v>n/a</v>
      </c>
    </row>
    <row r="65" customFormat="false" ht="22.35" hidden="false" customHeight="false" outlineLevel="0" collapsed="false">
      <c r="A65" s="12" t="s">
        <v>449</v>
      </c>
      <c r="B65" s="39" t="str">
        <f aca="false">IF(OR($B$6="",$B$6=0),"Enter kWh sales",MAX(0,-D55)/$B$6)</f>
        <v>Enter kWh sales</v>
      </c>
    </row>
    <row r="66" customFormat="false" ht="22.35" hidden="false" customHeight="false" outlineLevel="0" collapsed="false">
      <c r="A66" s="12" t="s">
        <v>450</v>
      </c>
      <c r="B66" s="21" t="str">
        <f aca="false">IF(ISNUMBER(B65),B65*$B$7,"")</f>
        <v/>
      </c>
    </row>
    <row r="67" customFormat="false" ht="15" hidden="false" customHeight="false" outlineLevel="0" collapsed="false">
      <c r="A67" s="9" t="s">
        <v>451</v>
      </c>
    </row>
    <row r="69" customFormat="false" ht="15" hidden="false" customHeight="false" outlineLevel="0" collapsed="false">
      <c r="A69" s="12" t="s">
        <v>452</v>
      </c>
    </row>
    <row r="70" customFormat="false" ht="30" hidden="false" customHeight="true" outlineLevel="0" collapsed="false">
      <c r="A70" s="6" t="s">
        <v>453</v>
      </c>
      <c r="B70" s="6" t="s">
        <v>454</v>
      </c>
      <c r="C70" s="6" t="s">
        <v>455</v>
      </c>
      <c r="D70" s="6" t="s">
        <v>456</v>
      </c>
    </row>
    <row r="71" customFormat="false" ht="15" hidden="false" customHeight="false" outlineLevel="0" collapsed="false">
      <c r="A71" s="8" t="s">
        <v>457</v>
      </c>
      <c r="B71" s="40" t="n">
        <v>1</v>
      </c>
      <c r="C71" s="40" t="n">
        <v>1</v>
      </c>
      <c r="D71" s="33" t="str">
        <f aca="false">IF($B$5="","",SUMPRODUCT((C53:R53*C71-C41:R41*B71)*C56:R56))</f>
        <v/>
      </c>
    </row>
    <row r="72" customFormat="false" ht="15" hidden="false" customHeight="false" outlineLevel="0" collapsed="false">
      <c r="A72" s="8" t="s">
        <v>458</v>
      </c>
      <c r="B72" s="40" t="n">
        <v>1.2</v>
      </c>
      <c r="C72" s="40" t="n">
        <v>1</v>
      </c>
      <c r="D72" s="33" t="str">
        <f aca="false">IF($B$5="","",SUMPRODUCT((C53:R53*C72-C41:R41*B72)*C56:R56))</f>
        <v/>
      </c>
    </row>
    <row r="73" customFormat="false" ht="15" hidden="false" customHeight="false" outlineLevel="0" collapsed="false">
      <c r="A73" s="8" t="s">
        <v>459</v>
      </c>
      <c r="B73" s="40" t="n">
        <v>1</v>
      </c>
      <c r="C73" s="40" t="n">
        <v>0.75</v>
      </c>
      <c r="D73" s="33" t="str">
        <f aca="false">IF($B$5="","",SUMPRODUCT((C53:R53*C73-C41:R41*B73)*C56:R56))</f>
        <v/>
      </c>
    </row>
    <row r="74" customFormat="false" ht="15" hidden="false" customHeight="false" outlineLevel="0" collapsed="false">
      <c r="A74" s="8" t="s">
        <v>460</v>
      </c>
      <c r="B74" s="40" t="n">
        <v>1.2</v>
      </c>
      <c r="C74" s="40" t="n">
        <v>0.75</v>
      </c>
      <c r="D74" s="33" t="str">
        <f aca="false">IF($B$5="","",SUMPRODUCT((C53:R53*C74-C41:R41*B74)*C56:R56))</f>
        <v/>
      </c>
    </row>
    <row r="75" customFormat="false" ht="15" hidden="false" customHeight="false" outlineLevel="0" collapsed="false">
      <c r="A75" s="8" t="s">
        <v>461</v>
      </c>
      <c r="B75" s="41" t="n">
        <v>1</v>
      </c>
      <c r="C75" s="8" t="s">
        <v>462</v>
      </c>
      <c r="D75" s="33" t="str">
        <f aca="false">IF($B$5="","",SUMPRODUCT(C53:Q53,D56:R56)-SUMPRODUCT(C41:R41,C56:R56))</f>
        <v/>
      </c>
    </row>
    <row r="77" customFormat="false" ht="22.35" hidden="false" customHeight="false" outlineLevel="0" collapsed="false">
      <c r="A77" s="12" t="s">
        <v>463</v>
      </c>
    </row>
    <row r="78" customFormat="false" ht="30" hidden="false" customHeight="true" outlineLevel="0" collapsed="false">
      <c r="A78" s="6" t="s">
        <v>464</v>
      </c>
      <c r="B78" s="6" t="s">
        <v>465</v>
      </c>
      <c r="C78" s="6" t="s">
        <v>456</v>
      </c>
      <c r="D78" s="6" t="s">
        <v>466</v>
      </c>
      <c r="E78" s="6" t="s">
        <v>467</v>
      </c>
    </row>
    <row r="79" customFormat="false" ht="15" hidden="false" customHeight="false" outlineLevel="0" collapsed="false">
      <c r="A79" s="17" t="s">
        <v>468</v>
      </c>
      <c r="B79" s="13"/>
      <c r="C79" s="30"/>
      <c r="D79" s="27"/>
      <c r="E79" s="13"/>
    </row>
    <row r="80" customFormat="false" ht="15" hidden="false" customHeight="false" outlineLevel="0" collapsed="false">
      <c r="A80" s="17" t="s">
        <v>469</v>
      </c>
      <c r="B80" s="13"/>
      <c r="C80" s="30"/>
      <c r="D80" s="27"/>
      <c r="E80" s="13"/>
    </row>
    <row r="81" customFormat="false" ht="15" hidden="false" customHeight="false" outlineLevel="0" collapsed="false">
      <c r="A81" s="17" t="s">
        <v>470</v>
      </c>
      <c r="B81" s="13"/>
      <c r="C81" s="30"/>
      <c r="D81" s="27"/>
      <c r="E81" s="13"/>
    </row>
    <row r="82" customFormat="false" ht="15" hidden="false" customHeight="false" outlineLevel="0" collapsed="false">
      <c r="A82" s="17" t="s">
        <v>471</v>
      </c>
      <c r="B82" s="13"/>
      <c r="C82" s="30"/>
      <c r="D82" s="27"/>
      <c r="E82" s="13"/>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K3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5" topLeftCell="C6" activePane="bottomRight" state="frozen"/>
      <selection pane="topLeft" activeCell="A1" activeCellId="0" sqref="A1"/>
      <selection pane="topRight" activeCell="C1" activeCellId="0" sqref="C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13"/>
    <col collapsed="false" customWidth="true" hidden="false" outlineLevel="0" max="2" min="2" style="0" width="38"/>
    <col collapsed="false" customWidth="true" hidden="false" outlineLevel="0" max="4" min="3" style="0" width="12"/>
    <col collapsed="false" customWidth="true" hidden="false" outlineLevel="0" max="5" min="5" style="0" width="16"/>
    <col collapsed="false" customWidth="true" hidden="false" outlineLevel="0" max="6" min="6" style="0" width="26"/>
    <col collapsed="false" customWidth="true" hidden="false" outlineLevel="0" max="8" min="7" style="0" width="10"/>
    <col collapsed="false" customWidth="true" hidden="false" outlineLevel="0" max="9" min="9" style="0" width="20"/>
    <col collapsed="false" customWidth="true" hidden="false" outlineLevel="0" max="10" min="10" style="0" width="16"/>
    <col collapsed="false" customWidth="true" hidden="false" outlineLevel="0" max="11" min="11" style="0" width="12"/>
  </cols>
  <sheetData>
    <row r="1" customFormat="false" ht="17.35" hidden="false" customHeight="false" outlineLevel="0" collapsed="false">
      <c r="A1" s="10" t="s">
        <v>472</v>
      </c>
    </row>
    <row r="2" customFormat="false" ht="15" hidden="false" customHeight="false" outlineLevel="0" collapsed="false">
      <c r="A2" s="11" t="s">
        <v>473</v>
      </c>
    </row>
    <row r="3" customFormat="false" ht="15" hidden="false" customHeight="false" outlineLevel="0" collapsed="false">
      <c r="A3" s="9" t="s">
        <v>134</v>
      </c>
    </row>
    <row r="5" customFormat="false" ht="30" hidden="false" customHeight="true" outlineLevel="0" collapsed="false">
      <c r="A5" s="6" t="s">
        <v>474</v>
      </c>
      <c r="B5" s="6" t="s">
        <v>475</v>
      </c>
      <c r="C5" s="6" t="s">
        <v>476</v>
      </c>
      <c r="D5" s="6" t="s">
        <v>260</v>
      </c>
      <c r="E5" s="6" t="s">
        <v>477</v>
      </c>
      <c r="F5" s="6" t="s">
        <v>478</v>
      </c>
      <c r="G5" s="6" t="s">
        <v>479</v>
      </c>
      <c r="H5" s="6" t="s">
        <v>480</v>
      </c>
      <c r="I5" s="6" t="s">
        <v>481</v>
      </c>
      <c r="J5" s="6" t="s">
        <v>140</v>
      </c>
      <c r="K5" s="6" t="s">
        <v>482</v>
      </c>
    </row>
    <row r="6" customFormat="false" ht="15" hidden="false" customHeight="false" outlineLevel="0" collapsed="false">
      <c r="A6" s="42" t="s">
        <v>483</v>
      </c>
      <c r="B6" s="42" t="s">
        <v>484</v>
      </c>
      <c r="C6" s="42"/>
      <c r="D6" s="42" t="s">
        <v>485</v>
      </c>
      <c r="E6" s="42" t="s">
        <v>486</v>
      </c>
      <c r="F6" s="42" t="s">
        <v>487</v>
      </c>
      <c r="G6" s="42"/>
      <c r="H6" s="42"/>
      <c r="I6" s="42" t="s">
        <v>488</v>
      </c>
      <c r="J6" s="42" t="s">
        <v>489</v>
      </c>
      <c r="K6" s="42"/>
    </row>
    <row r="7" customFormat="false" ht="15" hidden="false" customHeight="false" outlineLevel="0" collapsed="false">
      <c r="A7" s="13"/>
      <c r="B7" s="13"/>
      <c r="C7" s="13"/>
      <c r="D7" s="13"/>
      <c r="E7" s="13"/>
      <c r="F7" s="13"/>
      <c r="G7" s="13"/>
      <c r="H7" s="13"/>
      <c r="I7" s="13"/>
      <c r="J7" s="13"/>
      <c r="K7" s="14"/>
    </row>
    <row r="8" customFormat="false" ht="15" hidden="false" customHeight="false" outlineLevel="0" collapsed="false">
      <c r="A8" s="13"/>
      <c r="B8" s="13"/>
      <c r="C8" s="13"/>
      <c r="D8" s="13"/>
      <c r="E8" s="13"/>
      <c r="F8" s="13"/>
      <c r="G8" s="13"/>
      <c r="H8" s="13"/>
      <c r="I8" s="13"/>
      <c r="J8" s="13"/>
      <c r="K8" s="14"/>
    </row>
    <row r="9" customFormat="false" ht="15" hidden="false" customHeight="false" outlineLevel="0" collapsed="false">
      <c r="A9" s="13"/>
      <c r="B9" s="13"/>
      <c r="C9" s="13"/>
      <c r="D9" s="13"/>
      <c r="E9" s="13"/>
      <c r="F9" s="13"/>
      <c r="G9" s="13"/>
      <c r="H9" s="13"/>
      <c r="I9" s="13"/>
      <c r="J9" s="13"/>
      <c r="K9" s="14"/>
    </row>
    <row r="10" customFormat="false" ht="15" hidden="false" customHeight="false" outlineLevel="0" collapsed="false">
      <c r="A10" s="13"/>
      <c r="B10" s="13"/>
      <c r="C10" s="13"/>
      <c r="D10" s="13"/>
      <c r="E10" s="13"/>
      <c r="F10" s="13"/>
      <c r="G10" s="13"/>
      <c r="H10" s="13"/>
      <c r="I10" s="13"/>
      <c r="J10" s="13"/>
      <c r="K10" s="14"/>
    </row>
    <row r="11" customFormat="false" ht="15" hidden="false" customHeight="false" outlineLevel="0" collapsed="false">
      <c r="A11" s="13"/>
      <c r="B11" s="13"/>
      <c r="C11" s="13"/>
      <c r="D11" s="13"/>
      <c r="E11" s="13"/>
      <c r="F11" s="13"/>
      <c r="G11" s="13"/>
      <c r="H11" s="13"/>
      <c r="I11" s="13"/>
      <c r="J11" s="13"/>
      <c r="K11" s="14"/>
    </row>
    <row r="12" customFormat="false" ht="15" hidden="false" customHeight="false" outlineLevel="0" collapsed="false">
      <c r="A12" s="13"/>
      <c r="B12" s="13"/>
      <c r="C12" s="13"/>
      <c r="D12" s="13"/>
      <c r="E12" s="13"/>
      <c r="F12" s="13"/>
      <c r="G12" s="13"/>
      <c r="H12" s="13"/>
      <c r="I12" s="13"/>
      <c r="J12" s="13"/>
      <c r="K12" s="14"/>
    </row>
    <row r="13" customFormat="false" ht="15" hidden="false" customHeight="false" outlineLevel="0" collapsed="false">
      <c r="A13" s="13"/>
      <c r="B13" s="13"/>
      <c r="C13" s="13"/>
      <c r="D13" s="13"/>
      <c r="E13" s="13"/>
      <c r="F13" s="13"/>
      <c r="G13" s="13"/>
      <c r="H13" s="13"/>
      <c r="I13" s="13"/>
      <c r="J13" s="13"/>
      <c r="K13" s="14"/>
    </row>
    <row r="14" customFormat="false" ht="15" hidden="false" customHeight="false" outlineLevel="0" collapsed="false">
      <c r="A14" s="13"/>
      <c r="B14" s="13"/>
      <c r="C14" s="13"/>
      <c r="D14" s="13"/>
      <c r="E14" s="13"/>
      <c r="F14" s="13"/>
      <c r="G14" s="13"/>
      <c r="H14" s="13"/>
      <c r="I14" s="13"/>
      <c r="J14" s="13"/>
      <c r="K14" s="14"/>
    </row>
    <row r="15" customFormat="false" ht="15" hidden="false" customHeight="false" outlineLevel="0" collapsed="false">
      <c r="A15" s="13"/>
      <c r="B15" s="13"/>
      <c r="C15" s="13"/>
      <c r="D15" s="13"/>
      <c r="E15" s="13"/>
      <c r="F15" s="13"/>
      <c r="G15" s="13"/>
      <c r="H15" s="13"/>
      <c r="I15" s="13"/>
      <c r="J15" s="13"/>
      <c r="K15" s="14"/>
    </row>
    <row r="16" customFormat="false" ht="15" hidden="false" customHeight="false" outlineLevel="0" collapsed="false">
      <c r="A16" s="13"/>
      <c r="B16" s="13"/>
      <c r="C16" s="13"/>
      <c r="D16" s="13"/>
      <c r="E16" s="13"/>
      <c r="F16" s="13"/>
      <c r="G16" s="13"/>
      <c r="H16" s="13"/>
      <c r="I16" s="13"/>
      <c r="J16" s="13"/>
      <c r="K16" s="14"/>
    </row>
    <row r="17" customFormat="false" ht="15" hidden="false" customHeight="false" outlineLevel="0" collapsed="false">
      <c r="A17" s="13"/>
      <c r="B17" s="13"/>
      <c r="C17" s="13"/>
      <c r="D17" s="13"/>
      <c r="E17" s="13"/>
      <c r="F17" s="13"/>
      <c r="G17" s="13"/>
      <c r="H17" s="13"/>
      <c r="I17" s="13"/>
      <c r="J17" s="13"/>
      <c r="K17" s="14"/>
    </row>
    <row r="18" customFormat="false" ht="15" hidden="false" customHeight="false" outlineLevel="0" collapsed="false">
      <c r="A18" s="13"/>
      <c r="B18" s="13"/>
      <c r="C18" s="13"/>
      <c r="D18" s="13"/>
      <c r="E18" s="13"/>
      <c r="F18" s="13"/>
      <c r="G18" s="13"/>
      <c r="H18" s="13"/>
      <c r="I18" s="13"/>
      <c r="J18" s="13"/>
      <c r="K18" s="14"/>
    </row>
    <row r="19" customFormat="false" ht="15" hidden="false" customHeight="false" outlineLevel="0" collapsed="false">
      <c r="A19" s="13"/>
      <c r="B19" s="13"/>
      <c r="C19" s="13"/>
      <c r="D19" s="13"/>
      <c r="E19" s="13"/>
      <c r="F19" s="13"/>
      <c r="G19" s="13"/>
      <c r="H19" s="13"/>
      <c r="I19" s="13"/>
      <c r="J19" s="13"/>
      <c r="K19" s="14"/>
    </row>
    <row r="20" customFormat="false" ht="15" hidden="false" customHeight="false" outlineLevel="0" collapsed="false">
      <c r="A20" s="13"/>
      <c r="B20" s="13"/>
      <c r="C20" s="13"/>
      <c r="D20" s="13"/>
      <c r="E20" s="13"/>
      <c r="F20" s="13"/>
      <c r="G20" s="13"/>
      <c r="H20" s="13"/>
      <c r="I20" s="13"/>
      <c r="J20" s="13"/>
      <c r="K20" s="14"/>
    </row>
    <row r="21" customFormat="false" ht="15" hidden="false" customHeight="false" outlineLevel="0" collapsed="false">
      <c r="A21" s="13"/>
      <c r="B21" s="13"/>
      <c r="C21" s="13"/>
      <c r="D21" s="13"/>
      <c r="E21" s="13"/>
      <c r="F21" s="13"/>
      <c r="G21" s="13"/>
      <c r="H21" s="13"/>
      <c r="I21" s="13"/>
      <c r="J21" s="13"/>
      <c r="K21" s="14"/>
    </row>
    <row r="22" customFormat="false" ht="15" hidden="false" customHeight="false" outlineLevel="0" collapsed="false">
      <c r="A22" s="13"/>
      <c r="B22" s="13"/>
      <c r="C22" s="13"/>
      <c r="D22" s="13"/>
      <c r="E22" s="13"/>
      <c r="F22" s="13"/>
      <c r="G22" s="13"/>
      <c r="H22" s="13"/>
      <c r="I22" s="13"/>
      <c r="J22" s="13"/>
      <c r="K22" s="14"/>
    </row>
    <row r="23" customFormat="false" ht="15" hidden="false" customHeight="false" outlineLevel="0" collapsed="false">
      <c r="A23" s="13"/>
      <c r="B23" s="13"/>
      <c r="C23" s="13"/>
      <c r="D23" s="13"/>
      <c r="E23" s="13"/>
      <c r="F23" s="13"/>
      <c r="G23" s="13"/>
      <c r="H23" s="13"/>
      <c r="I23" s="13"/>
      <c r="J23" s="13"/>
      <c r="K23" s="14"/>
    </row>
    <row r="24" customFormat="false" ht="15" hidden="false" customHeight="false" outlineLevel="0" collapsed="false">
      <c r="A24" s="13"/>
      <c r="B24" s="13"/>
      <c r="C24" s="13"/>
      <c r="D24" s="13"/>
      <c r="E24" s="13"/>
      <c r="F24" s="13"/>
      <c r="G24" s="13"/>
      <c r="H24" s="13"/>
      <c r="I24" s="13"/>
      <c r="J24" s="13"/>
      <c r="K24" s="14"/>
    </row>
    <row r="25" customFormat="false" ht="15" hidden="false" customHeight="false" outlineLevel="0" collapsed="false">
      <c r="A25" s="13"/>
      <c r="B25" s="13"/>
      <c r="C25" s="13"/>
      <c r="D25" s="13"/>
      <c r="E25" s="13"/>
      <c r="F25" s="13"/>
      <c r="G25" s="13"/>
      <c r="H25" s="13"/>
      <c r="I25" s="13"/>
      <c r="J25" s="13"/>
      <c r="K25" s="14"/>
    </row>
    <row r="26" customFormat="false" ht="15" hidden="false" customHeight="false" outlineLevel="0" collapsed="false">
      <c r="A26" s="13"/>
      <c r="B26" s="13"/>
      <c r="C26" s="13"/>
      <c r="D26" s="13"/>
      <c r="E26" s="13"/>
      <c r="F26" s="13"/>
      <c r="G26" s="13"/>
      <c r="H26" s="13"/>
      <c r="I26" s="13"/>
      <c r="J26" s="13"/>
      <c r="K26" s="14"/>
    </row>
    <row r="27" customFormat="false" ht="15" hidden="false" customHeight="false" outlineLevel="0" collapsed="false">
      <c r="A27" s="13"/>
      <c r="B27" s="13"/>
      <c r="C27" s="13"/>
      <c r="D27" s="13"/>
      <c r="E27" s="13"/>
      <c r="F27" s="13"/>
      <c r="G27" s="13"/>
      <c r="H27" s="13"/>
      <c r="I27" s="13"/>
      <c r="J27" s="13"/>
      <c r="K27" s="14"/>
    </row>
    <row r="28" customFormat="false" ht="15" hidden="false" customHeight="false" outlineLevel="0" collapsed="false">
      <c r="A28" s="13"/>
      <c r="B28" s="13"/>
      <c r="C28" s="13"/>
      <c r="D28" s="13"/>
      <c r="E28" s="13"/>
      <c r="F28" s="13"/>
      <c r="G28" s="13"/>
      <c r="H28" s="13"/>
      <c r="I28" s="13"/>
      <c r="J28" s="13"/>
      <c r="K28" s="14"/>
    </row>
    <row r="29" customFormat="false" ht="15" hidden="false" customHeight="false" outlineLevel="0" collapsed="false">
      <c r="A29" s="13"/>
      <c r="B29" s="13"/>
      <c r="C29" s="13"/>
      <c r="D29" s="13"/>
      <c r="E29" s="13"/>
      <c r="F29" s="13"/>
      <c r="G29" s="13"/>
      <c r="H29" s="13"/>
      <c r="I29" s="13"/>
      <c r="J29" s="13"/>
      <c r="K29" s="14"/>
    </row>
    <row r="30" customFormat="false" ht="15" hidden="false" customHeight="false" outlineLevel="0" collapsed="false">
      <c r="A30" s="13"/>
      <c r="B30" s="13"/>
      <c r="C30" s="13"/>
      <c r="D30" s="13"/>
      <c r="E30" s="13"/>
      <c r="F30" s="13"/>
      <c r="G30" s="13"/>
      <c r="H30" s="13"/>
      <c r="I30" s="13"/>
      <c r="J30" s="13"/>
      <c r="K30" s="14"/>
    </row>
    <row r="31" customFormat="false" ht="15" hidden="false" customHeight="false" outlineLevel="0" collapsed="false">
      <c r="A31" s="13"/>
      <c r="B31" s="13"/>
      <c r="C31" s="13"/>
      <c r="D31" s="13"/>
      <c r="E31" s="13"/>
      <c r="F31" s="13"/>
      <c r="G31" s="13"/>
      <c r="H31" s="13"/>
      <c r="I31" s="13"/>
      <c r="J31" s="13"/>
      <c r="K31" s="14"/>
    </row>
    <row r="32" customFormat="false" ht="15" hidden="false" customHeight="false" outlineLevel="0" collapsed="false">
      <c r="A32" s="13"/>
      <c r="B32" s="13"/>
      <c r="C32" s="13"/>
      <c r="D32" s="13"/>
      <c r="E32" s="13"/>
      <c r="F32" s="13"/>
      <c r="G32" s="13"/>
      <c r="H32" s="13"/>
      <c r="I32" s="13"/>
      <c r="J32" s="13"/>
      <c r="K32" s="14"/>
    </row>
    <row r="33" customFormat="false" ht="15" hidden="false" customHeight="false" outlineLevel="0" collapsed="false">
      <c r="A33" s="13"/>
      <c r="B33" s="13"/>
      <c r="C33" s="13"/>
      <c r="D33" s="13"/>
      <c r="E33" s="13"/>
      <c r="F33" s="13"/>
      <c r="G33" s="13"/>
      <c r="H33" s="13"/>
      <c r="I33" s="13"/>
      <c r="J33" s="13"/>
      <c r="K33" s="14"/>
    </row>
    <row r="34" customFormat="false" ht="15" hidden="false" customHeight="false" outlineLevel="0" collapsed="false">
      <c r="A34" s="13"/>
      <c r="B34" s="13"/>
      <c r="C34" s="13"/>
      <c r="D34" s="13"/>
      <c r="E34" s="13"/>
      <c r="F34" s="13"/>
      <c r="G34" s="13"/>
      <c r="H34" s="13"/>
      <c r="I34" s="13"/>
      <c r="J34" s="13"/>
      <c r="K34" s="14"/>
    </row>
    <row r="35" customFormat="false" ht="15" hidden="false" customHeight="false" outlineLevel="0" collapsed="false">
      <c r="A35" s="13"/>
      <c r="B35" s="13"/>
      <c r="C35" s="13"/>
      <c r="D35" s="13"/>
      <c r="E35" s="13"/>
      <c r="F35" s="13"/>
      <c r="G35" s="13"/>
      <c r="H35" s="13"/>
      <c r="I35" s="13"/>
      <c r="J35" s="13"/>
      <c r="K35" s="14"/>
    </row>
    <row r="36" customFormat="false" ht="15" hidden="false" customHeight="false" outlineLevel="0" collapsed="false">
      <c r="A36" s="13"/>
      <c r="B36" s="13"/>
      <c r="C36" s="13"/>
      <c r="D36" s="13"/>
      <c r="E36" s="13"/>
      <c r="F36" s="13"/>
      <c r="G36" s="13"/>
      <c r="H36" s="13"/>
      <c r="I36" s="13"/>
      <c r="J36" s="13"/>
      <c r="K36" s="14"/>
    </row>
    <row r="38" customFormat="false" ht="15" hidden="false" customHeight="false" outlineLevel="0" collapsed="false">
      <c r="A38" s="9" t="s">
        <v>490</v>
      </c>
    </row>
  </sheetData>
  <dataValidations count="1">
    <dataValidation allowBlank="true" errorStyle="stop" operator="between" showDropDown="false" showErrorMessage="false" showInputMessage="false" sqref="E6:E36" type="list">
      <formula1>"Measured,Supplied by utility,Regulatory,Vendor quotation,Estimate,Vendor claim (unverified)"</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J3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5" topLeftCell="C6" activePane="bottomRight" state="frozen"/>
      <selection pane="topLeft" activeCell="A1" activeCellId="0" sqref="A1"/>
      <selection pane="topRight" activeCell="C1" activeCellId="0" sqref="C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30"/>
    <col collapsed="false" customWidth="true" hidden="false" outlineLevel="0" max="3" min="2" style="0" width="32"/>
    <col collapsed="false" customWidth="true" hidden="false" outlineLevel="0" max="4" min="4" style="0" width="24"/>
    <col collapsed="false" customWidth="true" hidden="false" outlineLevel="0" max="5" min="5" style="0" width="12"/>
    <col collapsed="false" customWidth="true" hidden="false" outlineLevel="0" max="6" min="6" style="0" width="30"/>
    <col collapsed="false" customWidth="true" hidden="false" outlineLevel="0" max="7" min="7" style="0" width="26"/>
    <col collapsed="false" customWidth="true" hidden="false" outlineLevel="0" max="8" min="8" style="0" width="14"/>
    <col collapsed="false" customWidth="true" hidden="false" outlineLevel="0" max="9" min="9" style="0" width="16"/>
    <col collapsed="false" customWidth="true" hidden="false" outlineLevel="0" max="10" min="10" style="0" width="20"/>
  </cols>
  <sheetData>
    <row r="1" customFormat="false" ht="17.35" hidden="false" customHeight="false" outlineLevel="0" collapsed="false">
      <c r="A1" s="10" t="s">
        <v>491</v>
      </c>
    </row>
    <row r="2" customFormat="false" ht="15" hidden="false" customHeight="false" outlineLevel="0" collapsed="false">
      <c r="A2" s="11" t="s">
        <v>492</v>
      </c>
    </row>
    <row r="3" customFormat="false" ht="15" hidden="false" customHeight="false" outlineLevel="0" collapsed="false">
      <c r="A3" s="9" t="s">
        <v>134</v>
      </c>
    </row>
    <row r="5" customFormat="false" ht="30" hidden="false" customHeight="true" outlineLevel="0" collapsed="false">
      <c r="A5" s="6" t="s">
        <v>493</v>
      </c>
      <c r="B5" s="6" t="s">
        <v>494</v>
      </c>
      <c r="C5" s="6" t="s">
        <v>429</v>
      </c>
      <c r="D5" s="6" t="s">
        <v>495</v>
      </c>
      <c r="E5" s="6" t="s">
        <v>496</v>
      </c>
      <c r="F5" s="6" t="s">
        <v>497</v>
      </c>
      <c r="G5" s="6" t="s">
        <v>498</v>
      </c>
      <c r="H5" s="6" t="s">
        <v>499</v>
      </c>
      <c r="I5" s="6" t="s">
        <v>500</v>
      </c>
      <c r="J5" s="6" t="s">
        <v>501</v>
      </c>
    </row>
    <row r="6" customFormat="false" ht="15" hidden="false" customHeight="false" outlineLevel="0" collapsed="false">
      <c r="A6" s="13" t="s">
        <v>502</v>
      </c>
      <c r="B6" s="13" t="s">
        <v>503</v>
      </c>
      <c r="C6" s="13" t="s">
        <v>430</v>
      </c>
      <c r="D6" s="13" t="s">
        <v>504</v>
      </c>
      <c r="E6" s="13"/>
      <c r="F6" s="13" t="s">
        <v>430</v>
      </c>
      <c r="G6" s="13" t="s">
        <v>278</v>
      </c>
      <c r="H6" s="13"/>
      <c r="I6" s="13"/>
      <c r="J6" s="17" t="str">
        <f aca="false">IF(AND(E6="Y",H6="Y",I6&lt;&gt;"",G6&lt;&gt;""),"Yes",IF(C6="","","No, see Protocol 19.3"))</f>
        <v>No, see Protocol 19.3</v>
      </c>
    </row>
    <row r="7" customFormat="false" ht="22.35" hidden="false" customHeight="false" outlineLevel="0" collapsed="false">
      <c r="A7" s="13" t="s">
        <v>502</v>
      </c>
      <c r="B7" s="13" t="s">
        <v>505</v>
      </c>
      <c r="C7" s="13" t="s">
        <v>506</v>
      </c>
      <c r="D7" s="13" t="s">
        <v>507</v>
      </c>
      <c r="E7" s="13"/>
      <c r="F7" s="13" t="s">
        <v>432</v>
      </c>
      <c r="G7" s="13" t="s">
        <v>508</v>
      </c>
      <c r="H7" s="13"/>
      <c r="I7" s="13"/>
      <c r="J7" s="17" t="str">
        <f aca="false">IF(AND(E7="Y",H7="Y",I7&lt;&gt;"",G7&lt;&gt;""),"Yes",IF(C7="","","No, see Protocol 19.3"))</f>
        <v>No, see Protocol 19.3</v>
      </c>
    </row>
    <row r="8" customFormat="false" ht="22.35" hidden="false" customHeight="false" outlineLevel="0" collapsed="false">
      <c r="A8" s="13" t="s">
        <v>509</v>
      </c>
      <c r="B8" s="13" t="s">
        <v>510</v>
      </c>
      <c r="C8" s="13" t="s">
        <v>511</v>
      </c>
      <c r="D8" s="13" t="s">
        <v>512</v>
      </c>
      <c r="E8" s="13"/>
      <c r="F8" s="13" t="s">
        <v>428</v>
      </c>
      <c r="G8" s="13" t="s">
        <v>513</v>
      </c>
      <c r="H8" s="13"/>
      <c r="I8" s="13"/>
      <c r="J8" s="17" t="str">
        <f aca="false">IF(AND(E8="Y",H8="Y",I8&lt;&gt;"",G8&lt;&gt;""),"Yes",IF(C8="","","No, see Protocol 19.3"))</f>
        <v>No, see Protocol 19.3</v>
      </c>
    </row>
    <row r="9" customFormat="false" ht="22.35" hidden="false" customHeight="false" outlineLevel="0" collapsed="false">
      <c r="A9" s="13" t="s">
        <v>514</v>
      </c>
      <c r="B9" s="13" t="s">
        <v>515</v>
      </c>
      <c r="C9" s="13" t="s">
        <v>516</v>
      </c>
      <c r="D9" s="13" t="s">
        <v>517</v>
      </c>
      <c r="E9" s="13"/>
      <c r="F9" s="13" t="s">
        <v>428</v>
      </c>
      <c r="G9" s="13" t="s">
        <v>265</v>
      </c>
      <c r="H9" s="13"/>
      <c r="I9" s="13"/>
      <c r="J9" s="17" t="str">
        <f aca="false">IF(AND(E9="Y",H9="Y",I9&lt;&gt;"",G9&lt;&gt;""),"Yes",IF(C9="","","No, see Protocol 19.3"))</f>
        <v>No, see Protocol 19.3</v>
      </c>
    </row>
    <row r="10" customFormat="false" ht="22.35" hidden="false" customHeight="false" outlineLevel="0" collapsed="false">
      <c r="A10" s="13" t="s">
        <v>518</v>
      </c>
      <c r="B10" s="13" t="s">
        <v>519</v>
      </c>
      <c r="C10" s="13" t="s">
        <v>520</v>
      </c>
      <c r="D10" s="13" t="s">
        <v>521</v>
      </c>
      <c r="E10" s="13"/>
      <c r="F10" s="13" t="s">
        <v>431</v>
      </c>
      <c r="G10" s="13" t="s">
        <v>522</v>
      </c>
      <c r="H10" s="13"/>
      <c r="I10" s="13"/>
      <c r="J10" s="17" t="str">
        <f aca="false">IF(AND(E10="Y",H10="Y",I10&lt;&gt;"",G10&lt;&gt;""),"Yes",IF(C10="","","No, see Protocol 19.3"))</f>
        <v>No, see Protocol 19.3</v>
      </c>
    </row>
    <row r="11" customFormat="false" ht="22.35" hidden="false" customHeight="false" outlineLevel="0" collapsed="false">
      <c r="A11" s="13" t="s">
        <v>523</v>
      </c>
      <c r="B11" s="13" t="s">
        <v>524</v>
      </c>
      <c r="C11" s="13" t="s">
        <v>525</v>
      </c>
      <c r="D11" s="13" t="s">
        <v>521</v>
      </c>
      <c r="E11" s="13"/>
      <c r="F11" s="13" t="s">
        <v>433</v>
      </c>
      <c r="G11" s="13" t="s">
        <v>295</v>
      </c>
      <c r="H11" s="13"/>
      <c r="I11" s="13"/>
      <c r="J11" s="17" t="str">
        <f aca="false">IF(AND(E11="Y",H11="Y",I11&lt;&gt;"",G11&lt;&gt;""),"Yes",IF(C11="","","No, see Protocol 19.3"))</f>
        <v>No, see Protocol 19.3</v>
      </c>
    </row>
    <row r="12" customFormat="false" ht="22.35" hidden="false" customHeight="false" outlineLevel="0" collapsed="false">
      <c r="A12" s="13" t="s">
        <v>526</v>
      </c>
      <c r="B12" s="13" t="s">
        <v>527</v>
      </c>
      <c r="C12" s="13" t="s">
        <v>528</v>
      </c>
      <c r="D12" s="13" t="s">
        <v>507</v>
      </c>
      <c r="E12" s="13"/>
      <c r="F12" s="13" t="s">
        <v>434</v>
      </c>
      <c r="G12" s="13" t="s">
        <v>529</v>
      </c>
      <c r="H12" s="13"/>
      <c r="I12" s="13"/>
      <c r="J12" s="17" t="str">
        <f aca="false">IF(AND(E12="Y",H12="Y",I12&lt;&gt;"",G12&lt;&gt;""),"Yes",IF(C12="","","No, see Protocol 19.3"))</f>
        <v>No, see Protocol 19.3</v>
      </c>
    </row>
    <row r="13" customFormat="false" ht="22.35" hidden="false" customHeight="false" outlineLevel="0" collapsed="false">
      <c r="A13" s="13" t="s">
        <v>530</v>
      </c>
      <c r="B13" s="13" t="s">
        <v>531</v>
      </c>
      <c r="C13" s="13" t="s">
        <v>532</v>
      </c>
      <c r="D13" s="13" t="s">
        <v>504</v>
      </c>
      <c r="E13" s="13"/>
      <c r="F13" s="13" t="s">
        <v>435</v>
      </c>
      <c r="G13" s="13"/>
      <c r="H13" s="13"/>
      <c r="I13" s="13"/>
      <c r="J13" s="17" t="str">
        <f aca="false">IF(AND(E13="Y",H13="Y",I13&lt;&gt;"",G13&lt;&gt;""),"Yes",IF(C13="","","No, see Protocol 19.3"))</f>
        <v>No, see Protocol 19.3</v>
      </c>
    </row>
    <row r="14" customFormat="false" ht="15" hidden="false" customHeight="false" outlineLevel="0" collapsed="false">
      <c r="A14" s="13" t="s">
        <v>533</v>
      </c>
      <c r="B14" s="13" t="s">
        <v>534</v>
      </c>
      <c r="C14" s="13" t="s">
        <v>535</v>
      </c>
      <c r="D14" s="13" t="s">
        <v>507</v>
      </c>
      <c r="E14" s="13"/>
      <c r="F14" s="13" t="s">
        <v>434</v>
      </c>
      <c r="G14" s="13"/>
      <c r="H14" s="13"/>
      <c r="I14" s="13"/>
      <c r="J14" s="17" t="str">
        <f aca="false">IF(AND(E14="Y",H14="Y",I14&lt;&gt;"",G14&lt;&gt;""),"Yes",IF(C14="","","No, see Protocol 19.3"))</f>
        <v>No, see Protocol 19.3</v>
      </c>
    </row>
    <row r="15" customFormat="false" ht="15" hidden="false" customHeight="false" outlineLevel="0" collapsed="false">
      <c r="A15" s="13" t="s">
        <v>536</v>
      </c>
      <c r="B15" s="13" t="s">
        <v>537</v>
      </c>
      <c r="C15" s="13" t="s">
        <v>538</v>
      </c>
      <c r="D15" s="13" t="s">
        <v>539</v>
      </c>
      <c r="E15" s="13"/>
      <c r="F15" s="13"/>
      <c r="G15" s="13"/>
      <c r="H15" s="13"/>
      <c r="I15" s="13"/>
      <c r="J15" s="17" t="str">
        <f aca="false">IF(AND(E15="Y",H15="Y",I15&lt;&gt;"",G15&lt;&gt;""),"Yes",IF(C15="","","No, see Protocol 19.3"))</f>
        <v>No, see Protocol 19.3</v>
      </c>
    </row>
    <row r="16" customFormat="false" ht="15" hidden="false" customHeight="false" outlineLevel="0" collapsed="false">
      <c r="A16" s="13" t="s">
        <v>540</v>
      </c>
      <c r="B16" s="13" t="s">
        <v>541</v>
      </c>
      <c r="C16" s="13" t="s">
        <v>542</v>
      </c>
      <c r="D16" s="13" t="s">
        <v>543</v>
      </c>
      <c r="E16" s="13"/>
      <c r="F16" s="13"/>
      <c r="G16" s="13"/>
      <c r="H16" s="13"/>
      <c r="I16" s="13"/>
      <c r="J16" s="17" t="str">
        <f aca="false">IF(AND(E16="Y",H16="Y",I16&lt;&gt;"",G16&lt;&gt;""),"Yes",IF(C16="","","No, see Protocol 19.3"))</f>
        <v>No, see Protocol 19.3</v>
      </c>
    </row>
    <row r="17" customFormat="false" ht="15" hidden="false" customHeight="false" outlineLevel="0" collapsed="false">
      <c r="A17" s="13" t="s">
        <v>544</v>
      </c>
      <c r="B17" s="13" t="s">
        <v>545</v>
      </c>
      <c r="C17" s="13" t="s">
        <v>546</v>
      </c>
      <c r="D17" s="13" t="s">
        <v>521</v>
      </c>
      <c r="E17" s="13"/>
      <c r="F17" s="13"/>
      <c r="G17" s="13"/>
      <c r="H17" s="13"/>
      <c r="I17" s="13"/>
      <c r="J17" s="17" t="str">
        <f aca="false">IF(AND(E17="Y",H17="Y",I17&lt;&gt;"",G17&lt;&gt;""),"Yes",IF(C17="","","No, see Protocol 19.3"))</f>
        <v>No, see Protocol 19.3</v>
      </c>
    </row>
    <row r="18" customFormat="false" ht="15" hidden="false" customHeight="false" outlineLevel="0" collapsed="false">
      <c r="A18" s="13"/>
      <c r="B18" s="13"/>
      <c r="C18" s="13"/>
      <c r="D18" s="13"/>
      <c r="E18" s="13"/>
      <c r="F18" s="13"/>
      <c r="G18" s="13"/>
      <c r="H18" s="13"/>
      <c r="I18" s="13"/>
      <c r="J18" s="17" t="str">
        <f aca="false">IF(AND(E18="Y",H18="Y",I18&lt;&gt;"",G18&lt;&gt;""),"Yes",IF(C18="","","No, see Protocol 19.3"))</f>
        <v/>
      </c>
    </row>
    <row r="19" customFormat="false" ht="15" hidden="false" customHeight="false" outlineLevel="0" collapsed="false">
      <c r="A19" s="13"/>
      <c r="B19" s="13"/>
      <c r="C19" s="13"/>
      <c r="D19" s="13"/>
      <c r="E19" s="13"/>
      <c r="F19" s="13"/>
      <c r="G19" s="13"/>
      <c r="H19" s="13"/>
      <c r="I19" s="13"/>
      <c r="J19" s="17" t="str">
        <f aca="false">IF(AND(E19="Y",H19="Y",I19&lt;&gt;"",G19&lt;&gt;""),"Yes",IF(C19="","","No, see Protocol 19.3"))</f>
        <v/>
      </c>
    </row>
    <row r="20" customFormat="false" ht="15" hidden="false" customHeight="false" outlineLevel="0" collapsed="false">
      <c r="A20" s="13"/>
      <c r="B20" s="13"/>
      <c r="C20" s="13"/>
      <c r="D20" s="13"/>
      <c r="E20" s="13"/>
      <c r="F20" s="13"/>
      <c r="G20" s="13"/>
      <c r="H20" s="13"/>
      <c r="I20" s="13"/>
      <c r="J20" s="17" t="str">
        <f aca="false">IF(AND(E20="Y",H20="Y",I20&lt;&gt;"",G20&lt;&gt;""),"Yes",IF(C20="","","No, see Protocol 19.3"))</f>
        <v/>
      </c>
    </row>
    <row r="21" customFormat="false" ht="15" hidden="false" customHeight="false" outlineLevel="0" collapsed="false">
      <c r="A21" s="13"/>
      <c r="B21" s="13"/>
      <c r="C21" s="13"/>
      <c r="D21" s="13"/>
      <c r="E21" s="13"/>
      <c r="F21" s="13"/>
      <c r="G21" s="13"/>
      <c r="H21" s="13"/>
      <c r="I21" s="13"/>
      <c r="J21" s="17" t="str">
        <f aca="false">IF(AND(E21="Y",H21="Y",I21&lt;&gt;"",G21&lt;&gt;""),"Yes",IF(C21="","","No, see Protocol 19.3"))</f>
        <v/>
      </c>
    </row>
    <row r="22" customFormat="false" ht="15" hidden="false" customHeight="false" outlineLevel="0" collapsed="false">
      <c r="A22" s="13"/>
      <c r="B22" s="13"/>
      <c r="C22" s="13"/>
      <c r="D22" s="13"/>
      <c r="E22" s="13"/>
      <c r="F22" s="13"/>
      <c r="G22" s="13"/>
      <c r="H22" s="13"/>
      <c r="I22" s="13"/>
      <c r="J22" s="17" t="str">
        <f aca="false">IF(AND(E22="Y",H22="Y",I22&lt;&gt;"",G22&lt;&gt;""),"Yes",IF(C22="","","No, see Protocol 19.3"))</f>
        <v/>
      </c>
    </row>
    <row r="23" customFormat="false" ht="15" hidden="false" customHeight="false" outlineLevel="0" collapsed="false">
      <c r="A23" s="13"/>
      <c r="B23" s="13"/>
      <c r="C23" s="13"/>
      <c r="D23" s="13"/>
      <c r="E23" s="13"/>
      <c r="F23" s="13"/>
      <c r="G23" s="13"/>
      <c r="H23" s="13"/>
      <c r="I23" s="13"/>
      <c r="J23" s="17" t="str">
        <f aca="false">IF(AND(E23="Y",H23="Y",I23&lt;&gt;"",G23&lt;&gt;""),"Yes",IF(C23="","","No, see Protocol 19.3"))</f>
        <v/>
      </c>
    </row>
    <row r="24" customFormat="false" ht="15" hidden="false" customHeight="false" outlineLevel="0" collapsed="false">
      <c r="A24" s="13"/>
      <c r="B24" s="13"/>
      <c r="C24" s="13"/>
      <c r="D24" s="13"/>
      <c r="E24" s="13"/>
      <c r="F24" s="13"/>
      <c r="G24" s="13"/>
      <c r="H24" s="13"/>
      <c r="I24" s="13"/>
      <c r="J24" s="17" t="str">
        <f aca="false">IF(AND(E24="Y",H24="Y",I24&lt;&gt;"",G24&lt;&gt;""),"Yes",IF(C24="","","No, see Protocol 19.3"))</f>
        <v/>
      </c>
    </row>
    <row r="25" customFormat="false" ht="15" hidden="false" customHeight="false" outlineLevel="0" collapsed="false">
      <c r="A25" s="13"/>
      <c r="B25" s="13"/>
      <c r="C25" s="13"/>
      <c r="D25" s="13"/>
      <c r="E25" s="13"/>
      <c r="F25" s="13"/>
      <c r="G25" s="13"/>
      <c r="H25" s="13"/>
      <c r="I25" s="13"/>
      <c r="J25" s="17" t="str">
        <f aca="false">IF(AND(E25="Y",H25="Y",I25&lt;&gt;"",G25&lt;&gt;""),"Yes",IF(C25="","","No, see Protocol 19.3"))</f>
        <v/>
      </c>
    </row>
    <row r="26" customFormat="false" ht="15" hidden="false" customHeight="false" outlineLevel="0" collapsed="false">
      <c r="A26" s="13"/>
      <c r="B26" s="13"/>
      <c r="C26" s="13"/>
      <c r="D26" s="13"/>
      <c r="E26" s="13"/>
      <c r="F26" s="13"/>
      <c r="G26" s="13"/>
      <c r="H26" s="13"/>
      <c r="I26" s="13"/>
      <c r="J26" s="17" t="str">
        <f aca="false">IF(AND(E26="Y",H26="Y",I26&lt;&gt;"",G26&lt;&gt;""),"Yes",IF(C26="","","No, see Protocol 19.3"))</f>
        <v/>
      </c>
    </row>
    <row r="27" customFormat="false" ht="15" hidden="false" customHeight="false" outlineLevel="0" collapsed="false">
      <c r="A27" s="13"/>
      <c r="B27" s="13"/>
      <c r="C27" s="13"/>
      <c r="D27" s="13"/>
      <c r="E27" s="13"/>
      <c r="F27" s="13"/>
      <c r="G27" s="13"/>
      <c r="H27" s="13"/>
      <c r="I27" s="13"/>
      <c r="J27" s="17" t="str">
        <f aca="false">IF(AND(E27="Y",H27="Y",I27&lt;&gt;"",G27&lt;&gt;""),"Yes",IF(C27="","","No, see Protocol 19.3"))</f>
        <v/>
      </c>
    </row>
    <row r="29" customFormat="false" ht="32.8" hidden="false" customHeight="false" outlineLevel="0" collapsed="false">
      <c r="A29" s="16" t="s">
        <v>547</v>
      </c>
    </row>
    <row r="30" customFormat="false" ht="30" hidden="false" customHeight="true" outlineLevel="0" collapsed="false">
      <c r="A30" s="6" t="s">
        <v>548</v>
      </c>
      <c r="B30" s="6" t="s">
        <v>333</v>
      </c>
      <c r="C30" s="6" t="s">
        <v>549</v>
      </c>
      <c r="D30" s="6" t="s">
        <v>189</v>
      </c>
      <c r="E30" s="6" t="s">
        <v>140</v>
      </c>
    </row>
    <row r="31" customFormat="false" ht="22.35" hidden="false" customHeight="false" outlineLevel="0" collapsed="false">
      <c r="A31" s="12" t="s">
        <v>550</v>
      </c>
      <c r="B31" s="8" t="s">
        <v>551</v>
      </c>
      <c r="C31" s="13"/>
      <c r="D31" s="13"/>
      <c r="E31" s="13"/>
    </row>
    <row r="32" customFormat="false" ht="15" hidden="false" customHeight="false" outlineLevel="0" collapsed="false">
      <c r="A32" s="12" t="s">
        <v>552</v>
      </c>
      <c r="B32" s="8" t="s">
        <v>553</v>
      </c>
      <c r="C32" s="13"/>
      <c r="D32" s="13"/>
      <c r="E32" s="13"/>
    </row>
    <row r="33" customFormat="false" ht="15" hidden="false" customHeight="false" outlineLevel="0" collapsed="false">
      <c r="A33" s="12" t="s">
        <v>554</v>
      </c>
      <c r="B33" s="8" t="s">
        <v>555</v>
      </c>
      <c r="C33" s="13"/>
      <c r="D33" s="13"/>
      <c r="E33" s="13"/>
    </row>
    <row r="34" customFormat="false" ht="22.35" hidden="false" customHeight="false" outlineLevel="0" collapsed="false">
      <c r="A34" s="12" t="s">
        <v>556</v>
      </c>
      <c r="B34" s="8" t="s">
        <v>557</v>
      </c>
      <c r="C34" s="13"/>
      <c r="D34" s="13"/>
      <c r="E34" s="13"/>
    </row>
    <row r="35" customFormat="false" ht="22.35" hidden="false" customHeight="false" outlineLevel="0" collapsed="false">
      <c r="A35" s="12" t="s">
        <v>558</v>
      </c>
      <c r="B35" s="8" t="s">
        <v>559</v>
      </c>
      <c r="C35" s="13"/>
      <c r="D35" s="13"/>
      <c r="E35" s="13"/>
    </row>
    <row r="36" customFormat="false" ht="22.35" hidden="false" customHeight="false" outlineLevel="0" collapsed="false">
      <c r="A36" s="12" t="s">
        <v>560</v>
      </c>
      <c r="B36" s="8" t="s">
        <v>561</v>
      </c>
      <c r="C36" s="13"/>
      <c r="D36" s="13"/>
      <c r="E36" s="13"/>
    </row>
    <row r="37" customFormat="false" ht="22.35" hidden="false" customHeight="false" outlineLevel="0" collapsed="false">
      <c r="A37" s="12" t="s">
        <v>346</v>
      </c>
      <c r="B37" s="8" t="s">
        <v>562</v>
      </c>
      <c r="C37" s="13"/>
      <c r="D37" s="13"/>
      <c r="E37" s="13"/>
    </row>
  </sheetData>
  <dataValidations count="3">
    <dataValidation allowBlank="true" errorStyle="stop" operator="between" showDropDown="false" showErrorMessage="false" showInputMessage="false" sqref="E6:E27" type="list">
      <formula1>"Y,N"</formula1>
      <formula2>0</formula2>
    </dataValidation>
    <dataValidation allowBlank="true" errorStyle="stop" operator="between" showDropDown="false" showErrorMessage="false" showInputMessage="false" sqref="H6:H27" type="list">
      <formula1>"Y,N"</formula1>
      <formula2>0</formula2>
    </dataValidation>
    <dataValidation allowBlank="true" errorStyle="stop" operator="between" showDropDown="false" showErrorMessage="false" showInputMessage="false" sqref="C31:C37" type="list">
      <formula1>"+,−,neutral"</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J6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3" ySplit="6" topLeftCell="D7" activePane="bottomRight" state="frozen"/>
      <selection pane="topLeft" activeCell="A1" activeCellId="0" sqref="A1"/>
      <selection pane="topRight" activeCell="D1" activeCellId="0" sqref="D1"/>
      <selection pane="bottomLeft" activeCell="A7" activeCellId="0" sqref="A7"/>
      <selection pane="bottomRight" activeCell="A1" activeCellId="0" sqref="A1"/>
    </sheetView>
  </sheetViews>
  <sheetFormatPr defaultColWidth="8.6796875" defaultRowHeight="15" zeroHeight="false" outlineLevelRow="0" outlineLevelCol="0"/>
  <cols>
    <col collapsed="false" customWidth="true" hidden="false" outlineLevel="0" max="1" min="1" style="0" width="9"/>
    <col collapsed="false" customWidth="true" hidden="false" outlineLevel="0" max="2" min="2" style="0" width="24"/>
    <col collapsed="false" customWidth="true" hidden="false" outlineLevel="0" max="3" min="3" style="0" width="60"/>
    <col collapsed="false" customWidth="true" hidden="false" outlineLevel="0" max="4" min="4" style="0" width="10"/>
    <col collapsed="false" customWidth="true" hidden="false" outlineLevel="0" max="5" min="5" style="0" width="9"/>
    <col collapsed="false" customWidth="true" hidden="false" outlineLevel="0" max="6" min="6" style="0" width="22"/>
    <col collapsed="false" customWidth="true" hidden="false" outlineLevel="0" max="7" min="7" style="0" width="9"/>
    <col collapsed="false" customWidth="true" hidden="false" outlineLevel="0" max="8" min="8" style="0" width="22"/>
    <col collapsed="false" customWidth="true" hidden="false" outlineLevel="0" max="9" min="9" style="0" width="9"/>
    <col collapsed="false" customWidth="true" hidden="false" outlineLevel="0" max="10" min="10" style="0" width="22"/>
  </cols>
  <sheetData>
    <row r="1" customFormat="false" ht="17.35" hidden="false" customHeight="false" outlineLevel="0" collapsed="false">
      <c r="A1" s="10" t="s">
        <v>563</v>
      </c>
    </row>
    <row r="2" customFormat="false" ht="15" hidden="false" customHeight="false" outlineLevel="0" collapsed="false">
      <c r="A2" s="11" t="s">
        <v>564</v>
      </c>
    </row>
    <row r="3" customFormat="false" ht="15" hidden="false" customHeight="false" outlineLevel="0" collapsed="false">
      <c r="A3" s="9" t="s">
        <v>134</v>
      </c>
    </row>
    <row r="5" customFormat="false" ht="22.35" hidden="false" customHeight="false" outlineLevel="0" collapsed="false">
      <c r="D5" s="12" t="s">
        <v>565</v>
      </c>
      <c r="E5" s="13" t="s">
        <v>566</v>
      </c>
      <c r="G5" s="13" t="s">
        <v>567</v>
      </c>
      <c r="I5" s="13" t="s">
        <v>568</v>
      </c>
    </row>
    <row r="6" customFormat="false" ht="30" hidden="false" customHeight="true" outlineLevel="0" collapsed="false">
      <c r="A6" s="6" t="s">
        <v>569</v>
      </c>
      <c r="B6" s="6" t="s">
        <v>570</v>
      </c>
      <c r="C6" s="6" t="s">
        <v>571</v>
      </c>
      <c r="D6" s="6" t="s">
        <v>572</v>
      </c>
      <c r="E6" s="6" t="s">
        <v>573</v>
      </c>
      <c r="F6" s="6" t="s">
        <v>574</v>
      </c>
      <c r="G6" s="6" t="s">
        <v>575</v>
      </c>
      <c r="H6" s="6" t="s">
        <v>576</v>
      </c>
      <c r="I6" s="6" t="s">
        <v>577</v>
      </c>
      <c r="J6" s="6" t="s">
        <v>578</v>
      </c>
    </row>
    <row r="7" customFormat="false" ht="32.8" hidden="false" customHeight="false" outlineLevel="0" collapsed="false">
      <c r="A7" s="12" t="s">
        <v>579</v>
      </c>
      <c r="B7" s="8" t="s">
        <v>580</v>
      </c>
      <c r="C7" s="8" t="s">
        <v>581</v>
      </c>
      <c r="D7" s="13" t="s">
        <v>582</v>
      </c>
      <c r="E7" s="13"/>
      <c r="F7" s="13"/>
      <c r="G7" s="13"/>
      <c r="H7" s="13"/>
      <c r="I7" s="13"/>
      <c r="J7" s="13"/>
    </row>
    <row r="8" customFormat="false" ht="15" hidden="false" customHeight="false" outlineLevel="0" collapsed="false">
      <c r="A8" s="12" t="s">
        <v>583</v>
      </c>
      <c r="B8" s="8" t="s">
        <v>580</v>
      </c>
      <c r="C8" s="8" t="s">
        <v>584</v>
      </c>
      <c r="D8" s="13" t="s">
        <v>582</v>
      </c>
      <c r="E8" s="13"/>
      <c r="F8" s="13"/>
      <c r="G8" s="13"/>
      <c r="H8" s="13"/>
      <c r="I8" s="13"/>
      <c r="J8" s="13"/>
    </row>
    <row r="9" customFormat="false" ht="15" hidden="false" customHeight="false" outlineLevel="0" collapsed="false">
      <c r="A9" s="12" t="s">
        <v>585</v>
      </c>
      <c r="B9" s="8" t="s">
        <v>580</v>
      </c>
      <c r="C9" s="8" t="s">
        <v>586</v>
      </c>
      <c r="D9" s="13" t="s">
        <v>582</v>
      </c>
      <c r="E9" s="13"/>
      <c r="F9" s="13"/>
      <c r="G9" s="13"/>
      <c r="H9" s="13"/>
      <c r="I9" s="13"/>
      <c r="J9" s="13"/>
    </row>
    <row r="10" customFormat="false" ht="15" hidden="false" customHeight="false" outlineLevel="0" collapsed="false">
      <c r="A10" s="12" t="s">
        <v>587</v>
      </c>
      <c r="B10" s="8" t="s">
        <v>580</v>
      </c>
      <c r="C10" s="8" t="s">
        <v>588</v>
      </c>
      <c r="D10" s="13" t="s">
        <v>582</v>
      </c>
      <c r="E10" s="13"/>
      <c r="F10" s="13"/>
      <c r="G10" s="13"/>
      <c r="H10" s="13"/>
      <c r="I10" s="13"/>
      <c r="J10" s="13"/>
    </row>
    <row r="11" customFormat="false" ht="15" hidden="false" customHeight="false" outlineLevel="0" collapsed="false">
      <c r="A11" s="12" t="s">
        <v>589</v>
      </c>
      <c r="B11" s="8" t="s">
        <v>580</v>
      </c>
      <c r="C11" s="8" t="s">
        <v>590</v>
      </c>
      <c r="D11" s="13" t="s">
        <v>582</v>
      </c>
      <c r="E11" s="13"/>
      <c r="F11" s="13"/>
      <c r="G11" s="13"/>
      <c r="H11" s="13"/>
      <c r="I11" s="13"/>
      <c r="J11" s="13"/>
    </row>
    <row r="12" customFormat="false" ht="15" hidden="false" customHeight="false" outlineLevel="0" collapsed="false">
      <c r="A12" s="12" t="s">
        <v>591</v>
      </c>
      <c r="B12" s="8" t="s">
        <v>580</v>
      </c>
      <c r="C12" s="8" t="s">
        <v>592</v>
      </c>
      <c r="D12" s="13" t="s">
        <v>582</v>
      </c>
      <c r="E12" s="13"/>
      <c r="F12" s="13"/>
      <c r="G12" s="13"/>
      <c r="H12" s="13"/>
      <c r="I12" s="13"/>
      <c r="J12" s="13"/>
    </row>
    <row r="13" customFormat="false" ht="22.35" hidden="false" customHeight="false" outlineLevel="0" collapsed="false">
      <c r="A13" s="12" t="s">
        <v>593</v>
      </c>
      <c r="B13" s="8" t="s">
        <v>580</v>
      </c>
      <c r="C13" s="8" t="s">
        <v>594</v>
      </c>
      <c r="D13" s="13" t="s">
        <v>582</v>
      </c>
      <c r="E13" s="13"/>
      <c r="F13" s="13"/>
      <c r="G13" s="13"/>
      <c r="H13" s="13"/>
      <c r="I13" s="13"/>
      <c r="J13" s="13"/>
    </row>
    <row r="14" customFormat="false" ht="22.35" hidden="false" customHeight="false" outlineLevel="0" collapsed="false">
      <c r="A14" s="12" t="s">
        <v>595</v>
      </c>
      <c r="B14" s="8" t="s">
        <v>580</v>
      </c>
      <c r="C14" s="8" t="s">
        <v>596</v>
      </c>
      <c r="D14" s="13" t="s">
        <v>582</v>
      </c>
      <c r="E14" s="13"/>
      <c r="F14" s="13"/>
      <c r="G14" s="13"/>
      <c r="H14" s="13"/>
      <c r="I14" s="13"/>
      <c r="J14" s="13"/>
    </row>
    <row r="15" customFormat="false" ht="32.8" hidden="false" customHeight="false" outlineLevel="0" collapsed="false">
      <c r="A15" s="12" t="s">
        <v>597</v>
      </c>
      <c r="B15" s="8" t="s">
        <v>580</v>
      </c>
      <c r="C15" s="8" t="s">
        <v>598</v>
      </c>
      <c r="D15" s="13" t="s">
        <v>582</v>
      </c>
      <c r="E15" s="13"/>
      <c r="F15" s="13"/>
      <c r="G15" s="13"/>
      <c r="H15" s="13"/>
      <c r="I15" s="13"/>
      <c r="J15" s="13"/>
    </row>
    <row r="16" customFormat="false" ht="15" hidden="false" customHeight="false" outlineLevel="0" collapsed="false">
      <c r="A16" s="12" t="s">
        <v>599</v>
      </c>
      <c r="B16" s="8" t="s">
        <v>580</v>
      </c>
      <c r="C16" s="8" t="s">
        <v>600</v>
      </c>
      <c r="D16" s="13" t="s">
        <v>582</v>
      </c>
      <c r="E16" s="13"/>
      <c r="F16" s="13"/>
      <c r="G16" s="13"/>
      <c r="H16" s="13"/>
      <c r="I16" s="13"/>
      <c r="J16" s="13"/>
    </row>
    <row r="17" customFormat="false" ht="15" hidden="false" customHeight="false" outlineLevel="0" collapsed="false">
      <c r="A17" s="12" t="s">
        <v>601</v>
      </c>
      <c r="B17" s="8" t="s">
        <v>580</v>
      </c>
      <c r="C17" s="8" t="s">
        <v>602</v>
      </c>
      <c r="D17" s="13" t="s">
        <v>582</v>
      </c>
      <c r="E17" s="13"/>
      <c r="F17" s="13"/>
      <c r="G17" s="13"/>
      <c r="H17" s="13"/>
      <c r="I17" s="13"/>
      <c r="J17" s="13"/>
    </row>
    <row r="18" customFormat="false" ht="22.35" hidden="false" customHeight="false" outlineLevel="0" collapsed="false">
      <c r="A18" s="12" t="s">
        <v>603</v>
      </c>
      <c r="B18" s="8" t="s">
        <v>580</v>
      </c>
      <c r="C18" s="8" t="s">
        <v>604</v>
      </c>
      <c r="D18" s="13" t="s">
        <v>582</v>
      </c>
      <c r="E18" s="13"/>
      <c r="F18" s="13"/>
      <c r="G18" s="13"/>
      <c r="H18" s="13"/>
      <c r="I18" s="13"/>
      <c r="J18" s="13"/>
    </row>
    <row r="19" customFormat="false" ht="22.35" hidden="false" customHeight="false" outlineLevel="0" collapsed="false">
      <c r="A19" s="12" t="s">
        <v>605</v>
      </c>
      <c r="B19" s="8" t="s">
        <v>580</v>
      </c>
      <c r="C19" s="8" t="s">
        <v>606</v>
      </c>
      <c r="D19" s="13" t="s">
        <v>582</v>
      </c>
      <c r="E19" s="13"/>
      <c r="F19" s="13"/>
      <c r="G19" s="13"/>
      <c r="H19" s="13"/>
      <c r="I19" s="13"/>
      <c r="J19" s="13"/>
    </row>
    <row r="20" customFormat="false" ht="32.8" hidden="false" customHeight="false" outlineLevel="0" collapsed="false">
      <c r="A20" s="12" t="s">
        <v>607</v>
      </c>
      <c r="B20" s="8" t="s">
        <v>580</v>
      </c>
      <c r="C20" s="8" t="s">
        <v>608</v>
      </c>
      <c r="D20" s="13" t="s">
        <v>582</v>
      </c>
      <c r="E20" s="13"/>
      <c r="F20" s="13"/>
      <c r="G20" s="13"/>
      <c r="H20" s="13"/>
      <c r="I20" s="13"/>
      <c r="J20" s="13"/>
    </row>
    <row r="21" customFormat="false" ht="22.35" hidden="false" customHeight="false" outlineLevel="0" collapsed="false">
      <c r="A21" s="12" t="s">
        <v>609</v>
      </c>
      <c r="B21" s="8" t="s">
        <v>580</v>
      </c>
      <c r="C21" s="8" t="s">
        <v>610</v>
      </c>
      <c r="D21" s="13" t="s">
        <v>582</v>
      </c>
      <c r="E21" s="13"/>
      <c r="F21" s="13"/>
      <c r="G21" s="13"/>
      <c r="H21" s="13"/>
      <c r="I21" s="13"/>
      <c r="J21" s="13"/>
    </row>
    <row r="22" customFormat="false" ht="22.35" hidden="false" customHeight="false" outlineLevel="0" collapsed="false">
      <c r="A22" s="12" t="s">
        <v>611</v>
      </c>
      <c r="B22" s="8" t="s">
        <v>580</v>
      </c>
      <c r="C22" s="8" t="s">
        <v>612</v>
      </c>
      <c r="D22" s="13" t="s">
        <v>582</v>
      </c>
      <c r="E22" s="13"/>
      <c r="F22" s="13"/>
      <c r="G22" s="13"/>
      <c r="H22" s="13"/>
      <c r="I22" s="13"/>
      <c r="J22" s="13"/>
    </row>
    <row r="23" customFormat="false" ht="22.35" hidden="false" customHeight="false" outlineLevel="0" collapsed="false">
      <c r="A23" s="12" t="s">
        <v>613</v>
      </c>
      <c r="B23" s="8" t="s">
        <v>580</v>
      </c>
      <c r="C23" s="8" t="s">
        <v>614</v>
      </c>
      <c r="D23" s="13" t="s">
        <v>582</v>
      </c>
      <c r="E23" s="13"/>
      <c r="F23" s="13"/>
      <c r="G23" s="13"/>
      <c r="H23" s="13"/>
      <c r="I23" s="13"/>
      <c r="J23" s="13"/>
    </row>
    <row r="24" customFormat="false" ht="15" hidden="false" customHeight="false" outlineLevel="0" collapsed="false">
      <c r="A24" s="12" t="s">
        <v>615</v>
      </c>
      <c r="B24" s="8" t="s">
        <v>161</v>
      </c>
      <c r="C24" s="8" t="s">
        <v>616</v>
      </c>
      <c r="D24" s="13" t="s">
        <v>582</v>
      </c>
      <c r="E24" s="13"/>
      <c r="F24" s="13"/>
      <c r="G24" s="13"/>
      <c r="H24" s="13"/>
      <c r="I24" s="13"/>
      <c r="J24" s="13"/>
    </row>
    <row r="25" customFormat="false" ht="15" hidden="false" customHeight="false" outlineLevel="0" collapsed="false">
      <c r="A25" s="12" t="s">
        <v>617</v>
      </c>
      <c r="B25" s="8" t="s">
        <v>161</v>
      </c>
      <c r="C25" s="8" t="s">
        <v>618</v>
      </c>
      <c r="D25" s="13" t="s">
        <v>582</v>
      </c>
      <c r="E25" s="13"/>
      <c r="F25" s="13"/>
      <c r="G25" s="13"/>
      <c r="H25" s="13"/>
      <c r="I25" s="13"/>
      <c r="J25" s="13"/>
    </row>
    <row r="26" customFormat="false" ht="15" hidden="false" customHeight="false" outlineLevel="0" collapsed="false">
      <c r="A26" s="12" t="s">
        <v>619</v>
      </c>
      <c r="B26" s="8" t="s">
        <v>161</v>
      </c>
      <c r="C26" s="8" t="s">
        <v>620</v>
      </c>
      <c r="D26" s="13" t="s">
        <v>582</v>
      </c>
      <c r="E26" s="13"/>
      <c r="F26" s="13"/>
      <c r="G26" s="13"/>
      <c r="H26" s="13"/>
      <c r="I26" s="13"/>
      <c r="J26" s="13"/>
    </row>
    <row r="27" customFormat="false" ht="15" hidden="false" customHeight="false" outlineLevel="0" collapsed="false">
      <c r="A27" s="12" t="s">
        <v>621</v>
      </c>
      <c r="B27" s="8" t="s">
        <v>161</v>
      </c>
      <c r="C27" s="8" t="s">
        <v>622</v>
      </c>
      <c r="D27" s="13" t="s">
        <v>582</v>
      </c>
      <c r="E27" s="13"/>
      <c r="F27" s="13"/>
      <c r="G27" s="13"/>
      <c r="H27" s="13"/>
      <c r="I27" s="13"/>
      <c r="J27" s="13"/>
    </row>
    <row r="28" customFormat="false" ht="22.35" hidden="false" customHeight="false" outlineLevel="0" collapsed="false">
      <c r="A28" s="12" t="s">
        <v>623</v>
      </c>
      <c r="B28" s="8" t="s">
        <v>161</v>
      </c>
      <c r="C28" s="8" t="s">
        <v>624</v>
      </c>
      <c r="D28" s="13" t="s">
        <v>582</v>
      </c>
      <c r="E28" s="13"/>
      <c r="F28" s="13"/>
      <c r="G28" s="13"/>
      <c r="H28" s="13"/>
      <c r="I28" s="13"/>
      <c r="J28" s="13"/>
    </row>
    <row r="29" customFormat="false" ht="15" hidden="false" customHeight="false" outlineLevel="0" collapsed="false">
      <c r="A29" s="12" t="s">
        <v>625</v>
      </c>
      <c r="B29" s="8" t="s">
        <v>161</v>
      </c>
      <c r="C29" s="8" t="s">
        <v>626</v>
      </c>
      <c r="D29" s="13" t="s">
        <v>582</v>
      </c>
      <c r="E29" s="13"/>
      <c r="F29" s="13"/>
      <c r="G29" s="13"/>
      <c r="H29" s="13"/>
      <c r="I29" s="13"/>
      <c r="J29" s="13"/>
    </row>
    <row r="30" customFormat="false" ht="22.35" hidden="false" customHeight="false" outlineLevel="0" collapsed="false">
      <c r="A30" s="12" t="s">
        <v>627</v>
      </c>
      <c r="B30" s="8" t="s">
        <v>161</v>
      </c>
      <c r="C30" s="8" t="s">
        <v>628</v>
      </c>
      <c r="D30" s="13" t="s">
        <v>582</v>
      </c>
      <c r="E30" s="13"/>
      <c r="F30" s="13"/>
      <c r="G30" s="13"/>
      <c r="H30" s="13"/>
      <c r="I30" s="13"/>
      <c r="J30" s="13"/>
    </row>
    <row r="31" customFormat="false" ht="15" hidden="false" customHeight="false" outlineLevel="0" collapsed="false">
      <c r="A31" s="12" t="s">
        <v>629</v>
      </c>
      <c r="B31" s="8" t="s">
        <v>161</v>
      </c>
      <c r="C31" s="8" t="s">
        <v>630</v>
      </c>
      <c r="D31" s="13" t="s">
        <v>582</v>
      </c>
      <c r="E31" s="13"/>
      <c r="F31" s="13"/>
      <c r="G31" s="13"/>
      <c r="H31" s="13"/>
      <c r="I31" s="13"/>
      <c r="J31" s="13"/>
    </row>
    <row r="32" customFormat="false" ht="22.35" hidden="false" customHeight="false" outlineLevel="0" collapsed="false">
      <c r="A32" s="12" t="s">
        <v>631</v>
      </c>
      <c r="B32" s="8" t="s">
        <v>161</v>
      </c>
      <c r="C32" s="8" t="s">
        <v>632</v>
      </c>
      <c r="D32" s="13" t="s">
        <v>582</v>
      </c>
      <c r="E32" s="13"/>
      <c r="F32" s="13"/>
      <c r="G32" s="13"/>
      <c r="H32" s="13"/>
      <c r="I32" s="13"/>
      <c r="J32" s="13"/>
    </row>
    <row r="33" customFormat="false" ht="22.35" hidden="false" customHeight="false" outlineLevel="0" collapsed="false">
      <c r="A33" s="12" t="s">
        <v>633</v>
      </c>
      <c r="B33" s="8" t="s">
        <v>634</v>
      </c>
      <c r="C33" s="8" t="s">
        <v>635</v>
      </c>
      <c r="D33" s="13" t="s">
        <v>582</v>
      </c>
      <c r="E33" s="13"/>
      <c r="F33" s="13"/>
      <c r="G33" s="13"/>
      <c r="H33" s="13"/>
      <c r="I33" s="13"/>
      <c r="J33" s="13"/>
    </row>
    <row r="34" customFormat="false" ht="15" hidden="false" customHeight="false" outlineLevel="0" collapsed="false">
      <c r="A34" s="12" t="s">
        <v>636</v>
      </c>
      <c r="B34" s="8" t="s">
        <v>634</v>
      </c>
      <c r="C34" s="8" t="s">
        <v>637</v>
      </c>
      <c r="D34" s="13" t="s">
        <v>582</v>
      </c>
      <c r="E34" s="13"/>
      <c r="F34" s="13"/>
      <c r="G34" s="13"/>
      <c r="H34" s="13"/>
      <c r="I34" s="13"/>
      <c r="J34" s="13"/>
    </row>
    <row r="35" customFormat="false" ht="32.8" hidden="false" customHeight="false" outlineLevel="0" collapsed="false">
      <c r="A35" s="12" t="s">
        <v>638</v>
      </c>
      <c r="B35" s="8" t="s">
        <v>634</v>
      </c>
      <c r="C35" s="8" t="s">
        <v>639</v>
      </c>
      <c r="D35" s="13" t="s">
        <v>582</v>
      </c>
      <c r="E35" s="13"/>
      <c r="F35" s="13"/>
      <c r="G35" s="13"/>
      <c r="H35" s="13"/>
      <c r="I35" s="13"/>
      <c r="J35" s="13"/>
    </row>
    <row r="36" customFormat="false" ht="22.35" hidden="false" customHeight="false" outlineLevel="0" collapsed="false">
      <c r="A36" s="12" t="s">
        <v>640</v>
      </c>
      <c r="B36" s="8" t="s">
        <v>634</v>
      </c>
      <c r="C36" s="8" t="s">
        <v>641</v>
      </c>
      <c r="D36" s="13" t="s">
        <v>582</v>
      </c>
      <c r="E36" s="13"/>
      <c r="F36" s="13"/>
      <c r="G36" s="13"/>
      <c r="H36" s="13"/>
      <c r="I36" s="13"/>
      <c r="J36" s="13"/>
    </row>
    <row r="37" customFormat="false" ht="15" hidden="false" customHeight="false" outlineLevel="0" collapsed="false">
      <c r="A37" s="12" t="s">
        <v>642</v>
      </c>
      <c r="B37" s="8" t="s">
        <v>634</v>
      </c>
      <c r="C37" s="8" t="s">
        <v>643</v>
      </c>
      <c r="D37" s="13" t="s">
        <v>582</v>
      </c>
      <c r="E37" s="13"/>
      <c r="F37" s="13"/>
      <c r="G37" s="13"/>
      <c r="H37" s="13"/>
      <c r="I37" s="13"/>
      <c r="J37" s="13"/>
    </row>
    <row r="38" customFormat="false" ht="32.8" hidden="false" customHeight="false" outlineLevel="0" collapsed="false">
      <c r="A38" s="12" t="s">
        <v>644</v>
      </c>
      <c r="B38" s="8" t="s">
        <v>634</v>
      </c>
      <c r="C38" s="8" t="s">
        <v>645</v>
      </c>
      <c r="D38" s="13" t="s">
        <v>582</v>
      </c>
      <c r="E38" s="13"/>
      <c r="F38" s="13"/>
      <c r="G38" s="13"/>
      <c r="H38" s="13"/>
      <c r="I38" s="13"/>
      <c r="J38" s="13"/>
    </row>
    <row r="39" customFormat="false" ht="22.35" hidden="false" customHeight="false" outlineLevel="0" collapsed="false">
      <c r="A39" s="12" t="s">
        <v>646</v>
      </c>
      <c r="B39" s="8" t="s">
        <v>634</v>
      </c>
      <c r="C39" s="8" t="s">
        <v>647</v>
      </c>
      <c r="D39" s="13" t="s">
        <v>582</v>
      </c>
      <c r="E39" s="13"/>
      <c r="F39" s="13"/>
      <c r="G39" s="13"/>
      <c r="H39" s="13"/>
      <c r="I39" s="13"/>
      <c r="J39" s="13"/>
    </row>
    <row r="40" customFormat="false" ht="15" hidden="false" customHeight="false" outlineLevel="0" collapsed="false">
      <c r="A40" s="12" t="s">
        <v>648</v>
      </c>
      <c r="B40" s="8" t="s">
        <v>634</v>
      </c>
      <c r="C40" s="8" t="s">
        <v>649</v>
      </c>
      <c r="D40" s="13" t="s">
        <v>582</v>
      </c>
      <c r="E40" s="13"/>
      <c r="F40" s="13"/>
      <c r="G40" s="13"/>
      <c r="H40" s="13"/>
      <c r="I40" s="13"/>
      <c r="J40" s="13"/>
    </row>
    <row r="41" customFormat="false" ht="15" hidden="false" customHeight="false" outlineLevel="0" collapsed="false">
      <c r="A41" s="12" t="s">
        <v>650</v>
      </c>
      <c r="B41" s="8" t="s">
        <v>634</v>
      </c>
      <c r="C41" s="8" t="s">
        <v>651</v>
      </c>
      <c r="D41" s="13" t="s">
        <v>582</v>
      </c>
      <c r="E41" s="13"/>
      <c r="F41" s="13"/>
      <c r="G41" s="13"/>
      <c r="H41" s="13"/>
      <c r="I41" s="13"/>
      <c r="J41" s="13"/>
    </row>
    <row r="42" customFormat="false" ht="32.8" hidden="false" customHeight="false" outlineLevel="0" collapsed="false">
      <c r="A42" s="12" t="s">
        <v>652</v>
      </c>
      <c r="B42" s="8" t="s">
        <v>634</v>
      </c>
      <c r="C42" s="8" t="s">
        <v>653</v>
      </c>
      <c r="D42" s="13" t="s">
        <v>582</v>
      </c>
      <c r="E42" s="13"/>
      <c r="F42" s="13"/>
      <c r="G42" s="13"/>
      <c r="H42" s="13"/>
      <c r="I42" s="13"/>
      <c r="J42" s="13"/>
    </row>
    <row r="43" customFormat="false" ht="22.35" hidden="false" customHeight="false" outlineLevel="0" collapsed="false">
      <c r="A43" s="12" t="s">
        <v>654</v>
      </c>
      <c r="B43" s="8" t="s">
        <v>655</v>
      </c>
      <c r="C43" s="8" t="s">
        <v>656</v>
      </c>
      <c r="D43" s="13" t="s">
        <v>582</v>
      </c>
      <c r="E43" s="13"/>
      <c r="F43" s="13"/>
      <c r="G43" s="13"/>
      <c r="H43" s="13"/>
      <c r="I43" s="13"/>
      <c r="J43" s="13"/>
    </row>
    <row r="44" customFormat="false" ht="22.35" hidden="false" customHeight="false" outlineLevel="0" collapsed="false">
      <c r="A44" s="12" t="s">
        <v>657</v>
      </c>
      <c r="B44" s="8" t="s">
        <v>655</v>
      </c>
      <c r="C44" s="8" t="s">
        <v>658</v>
      </c>
      <c r="D44" s="13" t="s">
        <v>582</v>
      </c>
      <c r="E44" s="13"/>
      <c r="F44" s="13"/>
      <c r="G44" s="13"/>
      <c r="H44" s="13"/>
      <c r="I44" s="13"/>
      <c r="J44" s="13"/>
    </row>
    <row r="45" customFormat="false" ht="22.35" hidden="false" customHeight="false" outlineLevel="0" collapsed="false">
      <c r="A45" s="12" t="s">
        <v>659</v>
      </c>
      <c r="B45" s="8" t="s">
        <v>655</v>
      </c>
      <c r="C45" s="8" t="s">
        <v>660</v>
      </c>
      <c r="D45" s="13" t="s">
        <v>582</v>
      </c>
      <c r="E45" s="13"/>
      <c r="F45" s="13"/>
      <c r="G45" s="13"/>
      <c r="H45" s="13"/>
      <c r="I45" s="13"/>
      <c r="J45" s="13"/>
    </row>
    <row r="46" customFormat="false" ht="22.35" hidden="false" customHeight="false" outlineLevel="0" collapsed="false">
      <c r="A46" s="12" t="s">
        <v>661</v>
      </c>
      <c r="B46" s="8" t="s">
        <v>655</v>
      </c>
      <c r="C46" s="8" t="s">
        <v>662</v>
      </c>
      <c r="D46" s="13" t="s">
        <v>582</v>
      </c>
      <c r="E46" s="13"/>
      <c r="F46" s="13"/>
      <c r="G46" s="13"/>
      <c r="H46" s="13"/>
      <c r="I46" s="13"/>
      <c r="J46" s="13"/>
    </row>
    <row r="47" customFormat="false" ht="22.35" hidden="false" customHeight="false" outlineLevel="0" collapsed="false">
      <c r="A47" s="12" t="s">
        <v>663</v>
      </c>
      <c r="B47" s="8" t="s">
        <v>655</v>
      </c>
      <c r="C47" s="8" t="s">
        <v>664</v>
      </c>
      <c r="D47" s="13" t="s">
        <v>582</v>
      </c>
      <c r="E47" s="13"/>
      <c r="F47" s="13"/>
      <c r="G47" s="13"/>
      <c r="H47" s="13"/>
      <c r="I47" s="13"/>
      <c r="J47" s="13"/>
    </row>
    <row r="48" customFormat="false" ht="22.35" hidden="false" customHeight="false" outlineLevel="0" collapsed="false">
      <c r="A48" s="12" t="s">
        <v>665</v>
      </c>
      <c r="B48" s="8" t="s">
        <v>655</v>
      </c>
      <c r="C48" s="8" t="s">
        <v>666</v>
      </c>
      <c r="D48" s="13" t="s">
        <v>582</v>
      </c>
      <c r="E48" s="13"/>
      <c r="F48" s="13"/>
      <c r="G48" s="13"/>
      <c r="H48" s="13"/>
      <c r="I48" s="13"/>
      <c r="J48" s="13"/>
    </row>
    <row r="49" customFormat="false" ht="22.35" hidden="false" customHeight="false" outlineLevel="0" collapsed="false">
      <c r="A49" s="12" t="s">
        <v>667</v>
      </c>
      <c r="B49" s="8" t="s">
        <v>655</v>
      </c>
      <c r="C49" s="8" t="s">
        <v>668</v>
      </c>
      <c r="D49" s="13" t="s">
        <v>582</v>
      </c>
      <c r="E49" s="13"/>
      <c r="F49" s="13"/>
      <c r="G49" s="13"/>
      <c r="H49" s="13"/>
      <c r="I49" s="13"/>
      <c r="J49" s="13"/>
    </row>
    <row r="50" customFormat="false" ht="22.35" hidden="false" customHeight="false" outlineLevel="0" collapsed="false">
      <c r="A50" s="12" t="s">
        <v>669</v>
      </c>
      <c r="B50" s="8" t="s">
        <v>655</v>
      </c>
      <c r="C50" s="8" t="s">
        <v>670</v>
      </c>
      <c r="D50" s="13" t="s">
        <v>582</v>
      </c>
      <c r="E50" s="13"/>
      <c r="F50" s="13"/>
      <c r="G50" s="13"/>
      <c r="H50" s="13"/>
      <c r="I50" s="13"/>
      <c r="J50" s="13"/>
    </row>
    <row r="51" customFormat="false" ht="22.35" hidden="false" customHeight="false" outlineLevel="0" collapsed="false">
      <c r="A51" s="12" t="s">
        <v>671</v>
      </c>
      <c r="B51" s="8" t="s">
        <v>655</v>
      </c>
      <c r="C51" s="8" t="s">
        <v>672</v>
      </c>
      <c r="D51" s="13" t="s">
        <v>582</v>
      </c>
      <c r="E51" s="13"/>
      <c r="F51" s="13"/>
      <c r="G51" s="13"/>
      <c r="H51" s="13"/>
      <c r="I51" s="13"/>
      <c r="J51" s="13"/>
    </row>
    <row r="52" customFormat="false" ht="22.35" hidden="false" customHeight="false" outlineLevel="0" collapsed="false">
      <c r="A52" s="12" t="s">
        <v>673</v>
      </c>
      <c r="B52" s="8" t="s">
        <v>655</v>
      </c>
      <c r="C52" s="8" t="s">
        <v>674</v>
      </c>
      <c r="D52" s="13" t="s">
        <v>582</v>
      </c>
      <c r="E52" s="13"/>
      <c r="F52" s="13"/>
      <c r="G52" s="13"/>
      <c r="H52" s="13"/>
      <c r="I52" s="13"/>
      <c r="J52" s="13"/>
    </row>
    <row r="53" customFormat="false" ht="22.35" hidden="false" customHeight="false" outlineLevel="0" collapsed="false">
      <c r="A53" s="12" t="s">
        <v>675</v>
      </c>
      <c r="B53" s="8" t="s">
        <v>676</v>
      </c>
      <c r="C53" s="8" t="s">
        <v>677</v>
      </c>
      <c r="D53" s="13" t="s">
        <v>582</v>
      </c>
      <c r="E53" s="13"/>
      <c r="F53" s="13"/>
      <c r="G53" s="13"/>
      <c r="H53" s="13"/>
      <c r="I53" s="13"/>
      <c r="J53" s="13"/>
    </row>
    <row r="54" customFormat="false" ht="22.35" hidden="false" customHeight="false" outlineLevel="0" collapsed="false">
      <c r="A54" s="12" t="s">
        <v>678</v>
      </c>
      <c r="B54" s="8" t="s">
        <v>676</v>
      </c>
      <c r="C54" s="8" t="s">
        <v>679</v>
      </c>
      <c r="D54" s="13" t="s">
        <v>582</v>
      </c>
      <c r="E54" s="13"/>
      <c r="F54" s="13"/>
      <c r="G54" s="13"/>
      <c r="H54" s="13"/>
      <c r="I54" s="13"/>
      <c r="J54" s="13"/>
    </row>
    <row r="55" customFormat="false" ht="22.35" hidden="false" customHeight="false" outlineLevel="0" collapsed="false">
      <c r="A55" s="12" t="s">
        <v>680</v>
      </c>
      <c r="B55" s="8" t="s">
        <v>676</v>
      </c>
      <c r="C55" s="8" t="s">
        <v>681</v>
      </c>
      <c r="D55" s="13" t="s">
        <v>582</v>
      </c>
      <c r="E55" s="13"/>
      <c r="F55" s="13"/>
      <c r="G55" s="13"/>
      <c r="H55" s="13"/>
      <c r="I55" s="13"/>
      <c r="J55" s="13"/>
    </row>
    <row r="56" customFormat="false" ht="22.35" hidden="false" customHeight="false" outlineLevel="0" collapsed="false">
      <c r="A56" s="12" t="s">
        <v>682</v>
      </c>
      <c r="B56" s="8" t="s">
        <v>676</v>
      </c>
      <c r="C56" s="8" t="s">
        <v>683</v>
      </c>
      <c r="D56" s="13" t="s">
        <v>582</v>
      </c>
      <c r="E56" s="13"/>
      <c r="F56" s="13"/>
      <c r="G56" s="13"/>
      <c r="H56" s="13"/>
      <c r="I56" s="13"/>
      <c r="J56" s="13"/>
    </row>
    <row r="57" customFormat="false" ht="22.35" hidden="false" customHeight="false" outlineLevel="0" collapsed="false">
      <c r="A57" s="12" t="s">
        <v>684</v>
      </c>
      <c r="B57" s="8" t="s">
        <v>685</v>
      </c>
      <c r="C57" s="8" t="s">
        <v>686</v>
      </c>
      <c r="D57" s="13" t="s">
        <v>582</v>
      </c>
      <c r="E57" s="13"/>
      <c r="F57" s="13"/>
      <c r="G57" s="13"/>
      <c r="H57" s="13"/>
      <c r="I57" s="13"/>
      <c r="J57" s="13"/>
    </row>
    <row r="58" customFormat="false" ht="22.35" hidden="false" customHeight="false" outlineLevel="0" collapsed="false">
      <c r="A58" s="12" t="s">
        <v>687</v>
      </c>
      <c r="B58" s="8" t="s">
        <v>685</v>
      </c>
      <c r="C58" s="8" t="s">
        <v>688</v>
      </c>
      <c r="D58" s="13" t="s">
        <v>582</v>
      </c>
      <c r="E58" s="13"/>
      <c r="F58" s="13"/>
      <c r="G58" s="13"/>
      <c r="H58" s="13"/>
      <c r="I58" s="13"/>
      <c r="J58" s="13"/>
    </row>
    <row r="59" customFormat="false" ht="22.35" hidden="false" customHeight="false" outlineLevel="0" collapsed="false">
      <c r="A59" s="12" t="s">
        <v>689</v>
      </c>
      <c r="B59" s="8" t="s">
        <v>685</v>
      </c>
      <c r="C59" s="8" t="s">
        <v>690</v>
      </c>
      <c r="D59" s="13" t="s">
        <v>582</v>
      </c>
      <c r="E59" s="13"/>
      <c r="F59" s="13"/>
      <c r="G59" s="13"/>
      <c r="H59" s="13"/>
      <c r="I59" s="13"/>
      <c r="J59" s="13"/>
    </row>
    <row r="60" customFormat="false" ht="22.35" hidden="false" customHeight="false" outlineLevel="0" collapsed="false">
      <c r="A60" s="12" t="s">
        <v>691</v>
      </c>
      <c r="B60" s="8" t="s">
        <v>685</v>
      </c>
      <c r="C60" s="8" t="s">
        <v>692</v>
      </c>
      <c r="D60" s="13" t="s">
        <v>582</v>
      </c>
      <c r="E60" s="13"/>
      <c r="F60" s="13"/>
      <c r="G60" s="13"/>
      <c r="H60" s="13"/>
      <c r="I60" s="13"/>
      <c r="J60" s="13"/>
    </row>
    <row r="61" customFormat="false" ht="22.35" hidden="false" customHeight="false" outlineLevel="0" collapsed="false">
      <c r="A61" s="12" t="s">
        <v>693</v>
      </c>
      <c r="B61" s="8" t="s">
        <v>685</v>
      </c>
      <c r="C61" s="8" t="s">
        <v>694</v>
      </c>
      <c r="D61" s="13" t="s">
        <v>582</v>
      </c>
      <c r="E61" s="13"/>
      <c r="F61" s="13"/>
      <c r="G61" s="13"/>
      <c r="H61" s="13"/>
      <c r="I61" s="13"/>
      <c r="J61" s="13"/>
    </row>
    <row r="62" customFormat="false" ht="22.35" hidden="false" customHeight="false" outlineLevel="0" collapsed="false">
      <c r="A62" s="12" t="s">
        <v>695</v>
      </c>
      <c r="B62" s="8" t="s">
        <v>685</v>
      </c>
      <c r="C62" s="8" t="s">
        <v>696</v>
      </c>
      <c r="D62" s="13" t="s">
        <v>582</v>
      </c>
      <c r="E62" s="13"/>
      <c r="F62" s="13"/>
      <c r="G62" s="13"/>
      <c r="H62" s="13"/>
      <c r="I62" s="13"/>
      <c r="J62" s="13"/>
    </row>
    <row r="64" customFormat="false" ht="15" hidden="false" customHeight="false" outlineLevel="0" collapsed="false">
      <c r="C64" s="12" t="s">
        <v>697</v>
      </c>
      <c r="E64" s="17" t="n">
        <f aca="false">COUNTIFS($D$7:$D$62,"Y",E7:E62,"N")</f>
        <v>0</v>
      </c>
      <c r="G64" s="17" t="n">
        <f aca="false">COUNTIFS($D$7:$D$62,"Y",G7:G62,"N")</f>
        <v>0</v>
      </c>
      <c r="I64" s="17" t="n">
        <f aca="false">COUNTIFS($D$7:$D$62,"Y",I7:I62,"N")</f>
        <v>0</v>
      </c>
    </row>
    <row r="65" customFormat="false" ht="15" hidden="false" customHeight="false" outlineLevel="0" collapsed="false">
      <c r="C65" s="12" t="s">
        <v>698</v>
      </c>
      <c r="E65" s="17" t="n">
        <f aca="false">COUNTBLANK(E7:E62)</f>
        <v>56</v>
      </c>
      <c r="G65" s="17" t="n">
        <f aca="false">COUNTBLANK(G7:G62)</f>
        <v>56</v>
      </c>
      <c r="I65" s="17" t="n">
        <f aca="false">COUNTBLANK(I7:I62)</f>
        <v>56</v>
      </c>
    </row>
    <row r="67" customFormat="false" ht="15" hidden="false" customHeight="false" outlineLevel="0" collapsed="false">
      <c r="C67" s="9" t="s">
        <v>699</v>
      </c>
    </row>
  </sheetData>
  <dataValidations count="4">
    <dataValidation allowBlank="true" errorStyle="stop" operator="between" showDropDown="false" showErrorMessage="false" showInputMessage="false" sqref="D7:D62" type="list">
      <formula1>"Y,N"</formula1>
      <formula2>0</formula2>
    </dataValidation>
    <dataValidation allowBlank="true" errorStyle="stop" operator="between" showDropDown="false" showErrorMessage="false" showInputMessage="false" sqref="E7:E62" type="list">
      <formula1>"C,P,N,NA"</formula1>
      <formula2>0</formula2>
    </dataValidation>
    <dataValidation allowBlank="true" errorStyle="stop" operator="between" showDropDown="false" showErrorMessage="false" showInputMessage="false" sqref="G7:G62" type="list">
      <formula1>"C,P,N,NA"</formula1>
      <formula2>0</formula2>
    </dataValidation>
    <dataValidation allowBlank="true" errorStyle="stop" operator="between" showDropDown="false" showErrorMessage="false" showInputMessage="false" sqref="I7:I62" type="list">
      <formula1>"C,P,N,NA"</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U3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3" ySplit="11" topLeftCell="D12" activePane="bottomRight" state="frozen"/>
      <selection pane="topLeft" activeCell="A1" activeCellId="0" sqref="A1"/>
      <selection pane="topRight" activeCell="D1" activeCellId="0" sqref="D1"/>
      <selection pane="bottomLeft" activeCell="A12" activeCellId="0" sqref="A12"/>
      <selection pane="bottomRigh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24"/>
    <col collapsed="false" customWidth="true" hidden="false" outlineLevel="0" max="3" min="3" style="0" width="34"/>
    <col collapsed="false" customWidth="true" hidden="false" outlineLevel="0" max="4" min="4" style="0" width="5"/>
    <col collapsed="false" customWidth="true" hidden="false" outlineLevel="0" max="5" min="5" style="0" width="9"/>
    <col collapsed="false" customWidth="true" hidden="false" outlineLevel="0" max="7" min="6" style="0" width="10"/>
    <col collapsed="false" customWidth="true" hidden="false" outlineLevel="0" max="8" min="8" style="0" width="8"/>
    <col collapsed="false" customWidth="true" hidden="false" outlineLevel="0" max="9" min="9" style="0" width="11"/>
    <col collapsed="false" customWidth="true" hidden="false" outlineLevel="0" max="10" min="10" style="0" width="10"/>
    <col collapsed="false" customWidth="true" hidden="false" outlineLevel="0" max="11" min="11" style="0" width="20"/>
    <col collapsed="false" customWidth="true" hidden="false" outlineLevel="0" max="15" min="12" style="0" width="9"/>
    <col collapsed="false" customWidth="true" hidden="false" outlineLevel="0" max="19" min="16" style="0" width="11"/>
    <col collapsed="false" customWidth="true" hidden="false" outlineLevel="0" max="20" min="20" style="0" width="17"/>
    <col collapsed="false" customWidth="true" hidden="false" outlineLevel="0" max="21" min="21" style="0" width="18"/>
  </cols>
  <sheetData>
    <row r="1" customFormat="false" ht="17.35" hidden="false" customHeight="false" outlineLevel="0" collapsed="false">
      <c r="A1" s="10" t="s">
        <v>700</v>
      </c>
    </row>
    <row r="2" customFormat="false" ht="15" hidden="false" customHeight="false" outlineLevel="0" collapsed="false">
      <c r="A2" s="11" t="s">
        <v>701</v>
      </c>
    </row>
    <row r="3" customFormat="false" ht="15" hidden="false" customHeight="false" outlineLevel="0" collapsed="false">
      <c r="A3" s="9" t="s">
        <v>134</v>
      </c>
    </row>
    <row r="5" customFormat="false" ht="85.05" hidden="false" customHeight="false" outlineLevel="0" collapsed="false">
      <c r="A5" s="12" t="s">
        <v>702</v>
      </c>
      <c r="C5" s="43" t="n">
        <v>1.5</v>
      </c>
      <c r="K5" s="12" t="s">
        <v>703</v>
      </c>
      <c r="L5" s="13" t="s">
        <v>704</v>
      </c>
      <c r="M5" s="13" t="s">
        <v>705</v>
      </c>
      <c r="N5" s="13" t="s">
        <v>706</v>
      </c>
      <c r="O5" s="13" t="s">
        <v>707</v>
      </c>
    </row>
    <row r="6" customFormat="false" ht="53.7" hidden="false" customHeight="false" outlineLevel="0" collapsed="false">
      <c r="A6" s="12" t="s">
        <v>708</v>
      </c>
      <c r="C6" s="44" t="n">
        <v>1.645</v>
      </c>
      <c r="K6" s="12" t="s">
        <v>709</v>
      </c>
      <c r="L6" s="28"/>
      <c r="M6" s="28"/>
      <c r="N6" s="28"/>
      <c r="O6" s="28"/>
    </row>
    <row r="7" customFormat="false" ht="15" hidden="false" customHeight="false" outlineLevel="0" collapsed="false">
      <c r="K7" s="12" t="s">
        <v>710</v>
      </c>
      <c r="L7" s="28"/>
      <c r="M7" s="28"/>
      <c r="N7" s="28"/>
      <c r="O7" s="28"/>
    </row>
    <row r="8" customFormat="false" ht="15" hidden="false" customHeight="false" outlineLevel="0" collapsed="false">
      <c r="K8" s="12" t="s">
        <v>711</v>
      </c>
      <c r="L8" s="28"/>
      <c r="M8" s="28"/>
      <c r="N8" s="28"/>
      <c r="O8" s="28"/>
    </row>
    <row r="9" customFormat="false" ht="22.35" hidden="false" customHeight="false" outlineLevel="0" collapsed="false">
      <c r="K9" s="12" t="s">
        <v>712</v>
      </c>
      <c r="L9" s="13" t="s">
        <v>713</v>
      </c>
      <c r="M9" s="13" t="s">
        <v>713</v>
      </c>
      <c r="N9" s="13" t="s">
        <v>713</v>
      </c>
      <c r="O9" s="13" t="s">
        <v>713</v>
      </c>
    </row>
    <row r="11" customFormat="false" ht="30" hidden="false" customHeight="true" outlineLevel="0" collapsed="false">
      <c r="A11" s="6" t="s">
        <v>474</v>
      </c>
      <c r="B11" s="6" t="s">
        <v>714</v>
      </c>
      <c r="C11" s="6" t="s">
        <v>256</v>
      </c>
      <c r="D11" s="6" t="s">
        <v>715</v>
      </c>
      <c r="E11" s="6" t="s">
        <v>716</v>
      </c>
      <c r="F11" s="6" t="s">
        <v>717</v>
      </c>
      <c r="G11" s="6" t="s">
        <v>259</v>
      </c>
      <c r="H11" s="6" t="s">
        <v>260</v>
      </c>
      <c r="I11" s="6" t="s">
        <v>718</v>
      </c>
      <c r="J11" s="6" t="s">
        <v>719</v>
      </c>
      <c r="K11" s="6" t="s">
        <v>720</v>
      </c>
      <c r="L11" s="6" t="s">
        <v>721</v>
      </c>
      <c r="M11" s="6" t="s">
        <v>722</v>
      </c>
      <c r="N11" s="6" t="s">
        <v>723</v>
      </c>
      <c r="O11" s="6" t="s">
        <v>724</v>
      </c>
      <c r="P11" s="6" t="s">
        <v>725</v>
      </c>
      <c r="Q11" s="6" t="s">
        <v>726</v>
      </c>
      <c r="R11" s="6" t="s">
        <v>727</v>
      </c>
      <c r="S11" s="6" t="s">
        <v>728</v>
      </c>
      <c r="T11" s="6" t="s">
        <v>729</v>
      </c>
      <c r="U11" s="6" t="s">
        <v>730</v>
      </c>
    </row>
    <row r="12" customFormat="false" ht="22.35" hidden="false" customHeight="false" outlineLevel="0" collapsed="false">
      <c r="A12" s="12" t="s">
        <v>731</v>
      </c>
      <c r="B12" s="8" t="s">
        <v>732</v>
      </c>
      <c r="C12" s="17" t="s">
        <v>733</v>
      </c>
      <c r="D12" s="13" t="s">
        <v>734</v>
      </c>
      <c r="E12" s="27" t="n">
        <v>0.98</v>
      </c>
      <c r="F12" s="27" t="n">
        <v>0.01</v>
      </c>
      <c r="G12" s="13" t="s">
        <v>735</v>
      </c>
      <c r="H12" s="8" t="s">
        <v>267</v>
      </c>
      <c r="I12" s="13" t="s">
        <v>736</v>
      </c>
      <c r="J12" s="13" t="s">
        <v>737</v>
      </c>
      <c r="K12" s="27"/>
      <c r="L12" s="27"/>
      <c r="M12" s="27"/>
      <c r="N12" s="27"/>
      <c r="O12" s="27"/>
      <c r="P12" s="8" t="str">
        <f aca="false">IF(OR(L12="",$E12=""),"",IF(IF($D12="≥",L12&lt;$E12,L12&gt;$E12),"NOT MET",IF(OR($F12="",$H12&lt;&gt;"%",L$9="Y"),"MET",IF(OR(IF($G12="meters",L$6,IF($G12="bills",L$7,IF($G12="commands",L$8,"")))="",IF($G12="meters",L$6,IF($G12="bills",L$7,IF($G12="commands",L$8,"")))=0),"ENTER n",IF(IF($D12="≥",L12-$C$6*SQRT($C$5*L12*(1-L12)/IF($G12="meters",L$6,IF($G12="bills",L$7,IF($G12="commands",L$8,""))))&gt;=$E12-$F12,L12+$C$6*SQRT($C$5*L12*(1-L12)/IF($G12="meters",L$6,IF($G12="bills",L$7,IF($G12="commands",L$8,""))))&lt;=$E12+$F12),"MET","INCONCLUSIVE")))))</f>
        <v/>
      </c>
      <c r="Q12" s="8" t="str">
        <f aca="false">IF(OR(M12="",$E12=""),"",IF(IF($D12="≥",M12&lt;$E12,M12&gt;$E12),"NOT MET",IF(OR($F12="",$H12&lt;&gt;"%",M$9="Y"),"MET",IF(OR(IF($G12="meters",M$6,IF($G12="bills",M$7,IF($G12="commands",M$8,"")))="",IF($G12="meters",M$6,IF($G12="bills",M$7,IF($G12="commands",M$8,"")))=0),"ENTER n",IF(IF($D12="≥",M12-$C$6*SQRT($C$5*M12*(1-M12)/IF($G12="meters",M$6,IF($G12="bills",M$7,IF($G12="commands",M$8,""))))&gt;=$E12-$F12,M12+$C$6*SQRT($C$5*M12*(1-M12)/IF($G12="meters",M$6,IF($G12="bills",M$7,IF($G12="commands",M$8,""))))&lt;=$E12+$F12),"MET","INCONCLUSIVE")))))</f>
        <v/>
      </c>
      <c r="R12" s="8" t="str">
        <f aca="false">IF(OR(N12="",$E12=""),"",IF(IF($D12="≥",N12&lt;$E12,N12&gt;$E12),"NOT MET",IF(OR($F12="",$H12&lt;&gt;"%",N$9="Y"),"MET",IF(OR(IF($G12="meters",N$6,IF($G12="bills",N$7,IF($G12="commands",N$8,"")))="",IF($G12="meters",N$6,IF($G12="bills",N$7,IF($G12="commands",N$8,"")))=0),"ENTER n",IF(IF($D12="≥",N12-$C$6*SQRT($C$5*N12*(1-N12)/IF($G12="meters",N$6,IF($G12="bills",N$7,IF($G12="commands",N$8,""))))&gt;=$E12-$F12,N12+$C$6*SQRT($C$5*N12*(1-N12)/IF($G12="meters",N$6,IF($G12="bills",N$7,IF($G12="commands",N$8,""))))&lt;=$E12+$F12),"MET","INCONCLUSIVE")))))</f>
        <v/>
      </c>
      <c r="S12" s="8" t="str">
        <f aca="false">IF(OR(O12="",$E12=""),"",IF(IF($D12="≥",O12&lt;$E12,O12&gt;$E12),"NOT MET",IF(OR($F12="",$H12&lt;&gt;"%",O$9="Y"),"MET",IF(OR(IF($G12="meters",O$6,IF($G12="bills",O$7,IF($G12="commands",O$8,"")))="",IF($G12="meters",O$6,IF($G12="bills",O$7,IF($G12="commands",O$8,"")))=0),"ENTER n",IF(IF($D12="≥",O12-$C$6*SQRT($C$5*O12*(1-O12)/IF($G12="meters",O$6,IF($G12="bills",O$7,IF($G12="commands",O$8,""))))&gt;=$E12-$F12,O12+$C$6*SQRT($C$5*O12*(1-O12)/IF($G12="meters",O$6,IF($G12="bills",O$7,IF($G12="commands",O$8,""))))&lt;=$E12+$F12),"MET","INCONCLUSIVE")))))</f>
        <v/>
      </c>
      <c r="T12" s="17" t="str">
        <f aca="false">IF(COUNT(L12:O12)=0,"Pending",IF(E12="","Set threshold",IF(COUNTIF(P12:S12,"NOT MET")&gt;0,"NOT MET ("&amp;COUNTIF(P12:S12,"NOT MET")&amp;" stratum)",IF(COUNTIF(P12:S12,"INCONCLUSIVE")&gt;0,"INCONCLUSIVE: extend or enlarge",IF(COUNTIF(P12:S12,"ENTER n")&gt;0,"Enter n","MET")))))</f>
        <v>Pending</v>
      </c>
      <c r="U12" s="13"/>
    </row>
    <row r="13" customFormat="false" ht="15" hidden="false" customHeight="false" outlineLevel="0" collapsed="false">
      <c r="A13" s="12" t="s">
        <v>731</v>
      </c>
      <c r="B13" s="8"/>
      <c r="C13" s="17" t="s">
        <v>273</v>
      </c>
      <c r="D13" s="13" t="s">
        <v>734</v>
      </c>
      <c r="E13" s="27" t="n">
        <v>0.99</v>
      </c>
      <c r="F13" s="27"/>
      <c r="G13" s="13" t="s">
        <v>735</v>
      </c>
      <c r="H13" s="8" t="s">
        <v>267</v>
      </c>
      <c r="I13" s="13" t="s">
        <v>738</v>
      </c>
      <c r="J13" s="13" t="inlineStr">
        <is>
          <t>Not gated</t>
        </is>
      </c>
      <c r="K13" s="27"/>
      <c r="L13" s="27"/>
      <c r="M13" s="27"/>
      <c r="N13" s="27"/>
      <c r="O13" s="27"/>
      <c r="P13" s="8" t="str">
        <f aca="false">IF(OR(L13="",$E13=""),"",IF(IF($D13="≥",L13&lt;$E13,L13&gt;$E13),"NOT MET",IF(OR($F13="",$H13&lt;&gt;"%",L$9="Y"),"MET",IF(OR(IF($G13="meters",L$6,IF($G13="bills",L$7,IF($G13="commands",L$8,"")))="",IF($G13="meters",L$6,IF($G13="bills",L$7,IF($G13="commands",L$8,"")))=0),"ENTER n",IF(IF($D13="≥",L13-$C$6*SQRT($C$5*L13*(1-L13)/IF($G13="meters",L$6,IF($G13="bills",L$7,IF($G13="commands",L$8,""))))&gt;=$E13-$F13,L13+$C$6*SQRT($C$5*L13*(1-L13)/IF($G13="meters",L$6,IF($G13="bills",L$7,IF($G13="commands",L$8,""))))&lt;=$E13+$F13),"MET","INCONCLUSIVE")))))</f>
        <v/>
      </c>
      <c r="Q13" s="8" t="str">
        <f aca="false">IF(OR(M13="",$E13=""),"",IF(IF($D13="≥",M13&lt;$E13,M13&gt;$E13),"NOT MET",IF(OR($F13="",$H13&lt;&gt;"%",M$9="Y"),"MET",IF(OR(IF($G13="meters",M$6,IF($G13="bills",M$7,IF($G13="commands",M$8,"")))="",IF($G13="meters",M$6,IF($G13="bills",M$7,IF($G13="commands",M$8,"")))=0),"ENTER n",IF(IF($D13="≥",M13-$C$6*SQRT($C$5*M13*(1-M13)/IF($G13="meters",M$6,IF($G13="bills",M$7,IF($G13="commands",M$8,""))))&gt;=$E13-$F13,M13+$C$6*SQRT($C$5*M13*(1-M13)/IF($G13="meters",M$6,IF($G13="bills",M$7,IF($G13="commands",M$8,""))))&lt;=$E13+$F13),"MET","INCONCLUSIVE")))))</f>
        <v/>
      </c>
      <c r="R13" s="8" t="str">
        <f aca="false">IF(OR(N13="",$E13=""),"",IF(IF($D13="≥",N13&lt;$E13,N13&gt;$E13),"NOT MET",IF(OR($F13="",$H13&lt;&gt;"%",N$9="Y"),"MET",IF(OR(IF($G13="meters",N$6,IF($G13="bills",N$7,IF($G13="commands",N$8,"")))="",IF($G13="meters",N$6,IF($G13="bills",N$7,IF($G13="commands",N$8,"")))=0),"ENTER n",IF(IF($D13="≥",N13-$C$6*SQRT($C$5*N13*(1-N13)/IF($G13="meters",N$6,IF($G13="bills",N$7,IF($G13="commands",N$8,""))))&gt;=$E13-$F13,N13+$C$6*SQRT($C$5*N13*(1-N13)/IF($G13="meters",N$6,IF($G13="bills",N$7,IF($G13="commands",N$8,""))))&lt;=$E13+$F13),"MET","INCONCLUSIVE")))))</f>
        <v/>
      </c>
      <c r="S13" s="8" t="str">
        <f aca="false">IF(OR(O13="",$E13=""),"",IF(IF($D13="≥",O13&lt;$E13,O13&gt;$E13),"NOT MET",IF(OR($F13="",$H13&lt;&gt;"%",O$9="Y"),"MET",IF(OR(IF($G13="meters",O$6,IF($G13="bills",O$7,IF($G13="commands",O$8,"")))="",IF($G13="meters",O$6,IF($G13="bills",O$7,IF($G13="commands",O$8,"")))=0),"ENTER n",IF(IF($D13="≥",O13-$C$6*SQRT($C$5*O13*(1-O13)/IF($G13="meters",O$6,IF($G13="bills",O$7,IF($G13="commands",O$8,""))))&gt;=$E13-$F13,O13+$C$6*SQRT($C$5*O13*(1-O13)/IF($G13="meters",O$6,IF($G13="bills",O$7,IF($G13="commands",O$8,""))))&lt;=$E13+$F13),"MET","INCONCLUSIVE")))))</f>
        <v/>
      </c>
      <c r="T13" s="17" t="str">
        <f aca="false">IF(COUNT(L13:O13)=0,"Pending",IF(E13="","Set threshold",IF(COUNTIF(P13:S13,"NOT MET")&gt;0,"NOT MET ("&amp;COUNTIF(P13:S13,"NOT MET")&amp;" stratum)",IF(COUNTIF(P13:S13,"INCONCLUSIVE")&gt;0,"INCONCLUSIVE: extend or enlarge",IF(COUNTIF(P13:S13,"ENTER n")&gt;0,"Enter n","MET")))))</f>
        <v>Pending</v>
      </c>
      <c r="U13" s="13"/>
    </row>
    <row r="14" customFormat="false" ht="32.8" hidden="false" customHeight="false" outlineLevel="0" collapsed="false">
      <c r="A14" s="12" t="s">
        <v>740</v>
      </c>
      <c r="B14" s="8" t="s">
        <v>741</v>
      </c>
      <c r="C14" s="17" t="s">
        <v>742</v>
      </c>
      <c r="D14" s="13" t="s">
        <v>734</v>
      </c>
      <c r="E14" s="27" t="n">
        <v>1</v>
      </c>
      <c r="F14" s="27"/>
      <c r="G14" s="13" t="s">
        <v>735</v>
      </c>
      <c r="H14" s="8" t="s">
        <v>267</v>
      </c>
      <c r="I14" s="13" t="s">
        <v>736</v>
      </c>
      <c r="J14" s="13" t="s">
        <v>737</v>
      </c>
      <c r="K14" s="27"/>
      <c r="L14" s="27"/>
      <c r="M14" s="27"/>
      <c r="N14" s="27"/>
      <c r="O14" s="27"/>
      <c r="P14" s="8" t="str">
        <f aca="false">IF(OR(L14="",$E14=""),"",IF(IF($D14="≥",L14&lt;$E14,L14&gt;$E14),"NOT MET",IF(OR($F14="",$H14&lt;&gt;"%",L$9="Y"),"MET",IF(OR(IF($G14="meters",L$6,IF($G14="bills",L$7,IF($G14="commands",L$8,"")))="",IF($G14="meters",L$6,IF($G14="bills",L$7,IF($G14="commands",L$8,"")))=0),"ENTER n",IF(IF($D14="≥",L14-$C$6*SQRT($C$5*L14*(1-L14)/IF($G14="meters",L$6,IF($G14="bills",L$7,IF($G14="commands",L$8,""))))&gt;=$E14-$F14,L14+$C$6*SQRT($C$5*L14*(1-L14)/IF($G14="meters",L$6,IF($G14="bills",L$7,IF($G14="commands",L$8,""))))&lt;=$E14+$F14),"MET","INCONCLUSIVE")))))</f>
        <v/>
      </c>
      <c r="Q14" s="8" t="str">
        <f aca="false">IF(OR(M14="",$E14=""),"",IF(IF($D14="≥",M14&lt;$E14,M14&gt;$E14),"NOT MET",IF(OR($F14="",$H14&lt;&gt;"%",M$9="Y"),"MET",IF(OR(IF($G14="meters",M$6,IF($G14="bills",M$7,IF($G14="commands",M$8,"")))="",IF($G14="meters",M$6,IF($G14="bills",M$7,IF($G14="commands",M$8,"")))=0),"ENTER n",IF(IF($D14="≥",M14-$C$6*SQRT($C$5*M14*(1-M14)/IF($G14="meters",M$6,IF($G14="bills",M$7,IF($G14="commands",M$8,""))))&gt;=$E14-$F14,M14+$C$6*SQRT($C$5*M14*(1-M14)/IF($G14="meters",M$6,IF($G14="bills",M$7,IF($G14="commands",M$8,""))))&lt;=$E14+$F14),"MET","INCONCLUSIVE")))))</f>
        <v/>
      </c>
      <c r="R14" s="8" t="str">
        <f aca="false">IF(OR(N14="",$E14=""),"",IF(IF($D14="≥",N14&lt;$E14,N14&gt;$E14),"NOT MET",IF(OR($F14="",$H14&lt;&gt;"%",N$9="Y"),"MET",IF(OR(IF($G14="meters",N$6,IF($G14="bills",N$7,IF($G14="commands",N$8,"")))="",IF($G14="meters",N$6,IF($G14="bills",N$7,IF($G14="commands",N$8,"")))=0),"ENTER n",IF(IF($D14="≥",N14-$C$6*SQRT($C$5*N14*(1-N14)/IF($G14="meters",N$6,IF($G14="bills",N$7,IF($G14="commands",N$8,""))))&gt;=$E14-$F14,N14+$C$6*SQRT($C$5*N14*(1-N14)/IF($G14="meters",N$6,IF($G14="bills",N$7,IF($G14="commands",N$8,""))))&lt;=$E14+$F14),"MET","INCONCLUSIVE")))))</f>
        <v/>
      </c>
      <c r="S14" s="8" t="str">
        <f aca="false">IF(OR(O14="",$E14=""),"",IF(IF($D14="≥",O14&lt;$E14,O14&gt;$E14),"NOT MET",IF(OR($F14="",$H14&lt;&gt;"%",O$9="Y"),"MET",IF(OR(IF($G14="meters",O$6,IF($G14="bills",O$7,IF($G14="commands",O$8,"")))="",IF($G14="meters",O$6,IF($G14="bills",O$7,IF($G14="commands",O$8,"")))=0),"ENTER n",IF(IF($D14="≥",O14-$C$6*SQRT($C$5*O14*(1-O14)/IF($G14="meters",O$6,IF($G14="bills",O$7,IF($G14="commands",O$8,""))))&gt;=$E14-$F14,O14+$C$6*SQRT($C$5*O14*(1-O14)/IF($G14="meters",O$6,IF($G14="bills",O$7,IF($G14="commands",O$8,""))))&lt;=$E14+$F14),"MET","INCONCLUSIVE")))))</f>
        <v/>
      </c>
      <c r="T14" s="17" t="str">
        <f aca="false">IF(COUNT(L14:O14)=0,"Pending",IF(E14="","Set threshold",IF(COUNTIF(P14:S14,"NOT MET")&gt;0,"NOT MET ("&amp;COUNTIF(P14:S14,"NOT MET")&amp;" stratum)",IF(COUNTIF(P14:S14,"INCONCLUSIVE")&gt;0,"INCONCLUSIVE: extend or enlarge",IF(COUNTIF(P14:S14,"ENTER n")&gt;0,"Enter n","MET")))))</f>
        <v>Pending</v>
      </c>
      <c r="U14" s="13"/>
    </row>
    <row r="15" customFormat="false" ht="22.35" hidden="false" customHeight="false" outlineLevel="0" collapsed="false">
      <c r="A15" s="12" t="s">
        <v>740</v>
      </c>
      <c r="B15" s="8"/>
      <c r="C15" s="17" t="s">
        <v>743</v>
      </c>
      <c r="D15" s="13" t="s">
        <v>734</v>
      </c>
      <c r="E15" s="27" t="n">
        <v>0.995</v>
      </c>
      <c r="F15" s="27" t="n">
        <v>0.002</v>
      </c>
      <c r="G15" s="13" t="s">
        <v>744</v>
      </c>
      <c r="H15" s="8" t="s">
        <v>267</v>
      </c>
      <c r="I15" s="13" t="s">
        <v>736</v>
      </c>
      <c r="J15" s="13" t="s">
        <v>745</v>
      </c>
      <c r="K15" s="27"/>
      <c r="L15" s="27"/>
      <c r="M15" s="27"/>
      <c r="N15" s="27"/>
      <c r="O15" s="27"/>
      <c r="P15" s="8" t="str">
        <f aca="false">IF(OR(L15="",$E15=""),"",IF(IF($D15="≥",L15&lt;$E15,L15&gt;$E15),"NOT MET",IF(OR($F15="",$H15&lt;&gt;"%",L$9="Y"),"MET",IF(OR(IF($G15="meters",L$6,IF($G15="bills",L$7,IF($G15="commands",L$8,"")))="",IF($G15="meters",L$6,IF($G15="bills",L$7,IF($G15="commands",L$8,"")))=0),"ENTER n",IF(IF($D15="≥",L15-$C$6*SQRT($C$5*L15*(1-L15)/IF($G15="meters",L$6,IF($G15="bills",L$7,IF($G15="commands",L$8,""))))&gt;=$E15-$F15,L15+$C$6*SQRT($C$5*L15*(1-L15)/IF($G15="meters",L$6,IF($G15="bills",L$7,IF($G15="commands",L$8,""))))&lt;=$E15+$F15),"MET","INCONCLUSIVE")))))</f>
        <v/>
      </c>
      <c r="Q15" s="8" t="str">
        <f aca="false">IF(OR(M15="",$E15=""),"",IF(IF($D15="≥",M15&lt;$E15,M15&gt;$E15),"NOT MET",IF(OR($F15="",$H15&lt;&gt;"%",M$9="Y"),"MET",IF(OR(IF($G15="meters",M$6,IF($G15="bills",M$7,IF($G15="commands",M$8,"")))="",IF($G15="meters",M$6,IF($G15="bills",M$7,IF($G15="commands",M$8,"")))=0),"ENTER n",IF(IF($D15="≥",M15-$C$6*SQRT($C$5*M15*(1-M15)/IF($G15="meters",M$6,IF($G15="bills",M$7,IF($G15="commands",M$8,""))))&gt;=$E15-$F15,M15+$C$6*SQRT($C$5*M15*(1-M15)/IF($G15="meters",M$6,IF($G15="bills",M$7,IF($G15="commands",M$8,""))))&lt;=$E15+$F15),"MET","INCONCLUSIVE")))))</f>
        <v/>
      </c>
      <c r="R15" s="8" t="str">
        <f aca="false">IF(OR(N15="",$E15=""),"",IF(IF($D15="≥",N15&lt;$E15,N15&gt;$E15),"NOT MET",IF(OR($F15="",$H15&lt;&gt;"%",N$9="Y"),"MET",IF(OR(IF($G15="meters",N$6,IF($G15="bills",N$7,IF($G15="commands",N$8,"")))="",IF($G15="meters",N$6,IF($G15="bills",N$7,IF($G15="commands",N$8,"")))=0),"ENTER n",IF(IF($D15="≥",N15-$C$6*SQRT($C$5*N15*(1-N15)/IF($G15="meters",N$6,IF($G15="bills",N$7,IF($G15="commands",N$8,""))))&gt;=$E15-$F15,N15+$C$6*SQRT($C$5*N15*(1-N15)/IF($G15="meters",N$6,IF($G15="bills",N$7,IF($G15="commands",N$8,""))))&lt;=$E15+$F15),"MET","INCONCLUSIVE")))))</f>
        <v/>
      </c>
      <c r="S15" s="8" t="str">
        <f aca="false">IF(OR(O15="",$E15=""),"",IF(IF($D15="≥",O15&lt;$E15,O15&gt;$E15),"NOT MET",IF(OR($F15="",$H15&lt;&gt;"%",O$9="Y"),"MET",IF(OR(IF($G15="meters",O$6,IF($G15="bills",O$7,IF($G15="commands",O$8,"")))="",IF($G15="meters",O$6,IF($G15="bills",O$7,IF($G15="commands",O$8,"")))=0),"ENTER n",IF(IF($D15="≥",O15-$C$6*SQRT($C$5*O15*(1-O15)/IF($G15="meters",O$6,IF($G15="bills",O$7,IF($G15="commands",O$8,""))))&gt;=$E15-$F15,O15+$C$6*SQRT($C$5*O15*(1-O15)/IF($G15="meters",O$6,IF($G15="bills",O$7,IF($G15="commands",O$8,""))))&lt;=$E15+$F15),"MET","INCONCLUSIVE")))))</f>
        <v/>
      </c>
      <c r="T15" s="17" t="str">
        <f aca="false">IF(COUNT(L15:O15)=0,"Pending",IF(E15="","Set threshold",IF(COUNTIF(P15:S15,"NOT MET")&gt;0,"NOT MET ("&amp;COUNTIF(P15:S15,"NOT MET")&amp;" stratum)",IF(COUNTIF(P15:S15,"INCONCLUSIVE")&gt;0,"INCONCLUSIVE: extend or enlarge",IF(COUNTIF(P15:S15,"ENTER n")&gt;0,"Enter n","MET")))))</f>
        <v>Pending</v>
      </c>
      <c r="U15" s="13"/>
    </row>
    <row r="16" customFormat="false" ht="22.35" hidden="false" customHeight="false" outlineLevel="0" collapsed="false">
      <c r="A16" s="12" t="s">
        <v>746</v>
      </c>
      <c r="B16" s="8" t="s">
        <v>747</v>
      </c>
      <c r="C16" s="17" t="s">
        <v>748</v>
      </c>
      <c r="D16" s="13" t="s">
        <v>749</v>
      </c>
      <c r="E16" s="27" t="n">
        <v>0.01</v>
      </c>
      <c r="F16" s="27" t="n">
        <v>0.005</v>
      </c>
      <c r="G16" s="13" t="s">
        <v>744</v>
      </c>
      <c r="H16" s="8" t="s">
        <v>267</v>
      </c>
      <c r="I16" s="13" t="s">
        <v>736</v>
      </c>
      <c r="J16" s="13" t="s">
        <v>745</v>
      </c>
      <c r="K16" s="27"/>
      <c r="L16" s="27"/>
      <c r="M16" s="27"/>
      <c r="N16" s="27"/>
      <c r="O16" s="27"/>
      <c r="P16" s="8" t="str">
        <f aca="false">IF(OR(L16="",$E16=""),"",IF(IF($D16="≥",L16&lt;$E16,L16&gt;$E16),"NOT MET",IF(OR($F16="",$H16&lt;&gt;"%",L$9="Y"),"MET",IF(OR(IF($G16="meters",L$6,IF($G16="bills",L$7,IF($G16="commands",L$8,"")))="",IF($G16="meters",L$6,IF($G16="bills",L$7,IF($G16="commands",L$8,"")))=0),"ENTER n",IF(IF($D16="≥",L16-$C$6*SQRT($C$5*L16*(1-L16)/IF($G16="meters",L$6,IF($G16="bills",L$7,IF($G16="commands",L$8,""))))&gt;=$E16-$F16,L16+$C$6*SQRT($C$5*L16*(1-L16)/IF($G16="meters",L$6,IF($G16="bills",L$7,IF($G16="commands",L$8,""))))&lt;=$E16+$F16),"MET","INCONCLUSIVE")))))</f>
        <v/>
      </c>
      <c r="Q16" s="8" t="str">
        <f aca="false">IF(OR(M16="",$E16=""),"",IF(IF($D16="≥",M16&lt;$E16,M16&gt;$E16),"NOT MET",IF(OR($F16="",$H16&lt;&gt;"%",M$9="Y"),"MET",IF(OR(IF($G16="meters",M$6,IF($G16="bills",M$7,IF($G16="commands",M$8,"")))="",IF($G16="meters",M$6,IF($G16="bills",M$7,IF($G16="commands",M$8,"")))=0),"ENTER n",IF(IF($D16="≥",M16-$C$6*SQRT($C$5*M16*(1-M16)/IF($G16="meters",M$6,IF($G16="bills",M$7,IF($G16="commands",M$8,""))))&gt;=$E16-$F16,M16+$C$6*SQRT($C$5*M16*(1-M16)/IF($G16="meters",M$6,IF($G16="bills",M$7,IF($G16="commands",M$8,""))))&lt;=$E16+$F16),"MET","INCONCLUSIVE")))))</f>
        <v/>
      </c>
      <c r="R16" s="8" t="str">
        <f aca="false">IF(OR(N16="",$E16=""),"",IF(IF($D16="≥",N16&lt;$E16,N16&gt;$E16),"NOT MET",IF(OR($F16="",$H16&lt;&gt;"%",N$9="Y"),"MET",IF(OR(IF($G16="meters",N$6,IF($G16="bills",N$7,IF($G16="commands",N$8,"")))="",IF($G16="meters",N$6,IF($G16="bills",N$7,IF($G16="commands",N$8,"")))=0),"ENTER n",IF(IF($D16="≥",N16-$C$6*SQRT($C$5*N16*(1-N16)/IF($G16="meters",N$6,IF($G16="bills",N$7,IF($G16="commands",N$8,""))))&gt;=$E16-$F16,N16+$C$6*SQRT($C$5*N16*(1-N16)/IF($G16="meters",N$6,IF($G16="bills",N$7,IF($G16="commands",N$8,""))))&lt;=$E16+$F16),"MET","INCONCLUSIVE")))))</f>
        <v/>
      </c>
      <c r="S16" s="8" t="str">
        <f aca="false">IF(OR(O16="",$E16=""),"",IF(IF($D16="≥",O16&lt;$E16,O16&gt;$E16),"NOT MET",IF(OR($F16="",$H16&lt;&gt;"%",O$9="Y"),"MET",IF(OR(IF($G16="meters",O$6,IF($G16="bills",O$7,IF($G16="commands",O$8,"")))="",IF($G16="meters",O$6,IF($G16="bills",O$7,IF($G16="commands",O$8,"")))=0),"ENTER n",IF(IF($D16="≥",O16-$C$6*SQRT($C$5*O16*(1-O16)/IF($G16="meters",O$6,IF($G16="bills",O$7,IF($G16="commands",O$8,""))))&gt;=$E16-$F16,O16+$C$6*SQRT($C$5*O16*(1-O16)/IF($G16="meters",O$6,IF($G16="bills",O$7,IF($G16="commands",O$8,""))))&lt;=$E16+$F16),"MET","INCONCLUSIVE")))))</f>
        <v/>
      </c>
      <c r="T16" s="17" t="str">
        <f aca="false">IF(COUNT(L16:O16)=0,"Pending",IF(E16="","Set threshold",IF(COUNTIF(P16:S16,"NOT MET")&gt;0,"NOT MET ("&amp;COUNTIF(P16:S16,"NOT MET")&amp;" stratum)",IF(COUNTIF(P16:S16,"INCONCLUSIVE")&gt;0,"INCONCLUSIVE: extend or enlarge",IF(COUNTIF(P16:S16,"ENTER n")&gt;0,"Enter n","MET")))))</f>
        <v>Pending</v>
      </c>
      <c r="U16" s="13"/>
    </row>
    <row r="17" customFormat="false" ht="32.8" hidden="false" customHeight="false" outlineLevel="0" collapsed="false">
      <c r="A17" s="12" t="s">
        <v>750</v>
      </c>
      <c r="B17" s="8" t="s">
        <v>751</v>
      </c>
      <c r="C17" s="17" t="s">
        <v>752</v>
      </c>
      <c r="D17" s="13" t="s">
        <v>734</v>
      </c>
      <c r="E17" s="27" t="n">
        <v>0.95</v>
      </c>
      <c r="F17" s="27" t="n">
        <v>0.02</v>
      </c>
      <c r="G17" s="13" t="s">
        <v>753</v>
      </c>
      <c r="H17" s="8" t="s">
        <v>267</v>
      </c>
      <c r="I17" s="13" t="s">
        <v>736</v>
      </c>
      <c r="J17" s="13" t="s">
        <v>737</v>
      </c>
      <c r="K17" s="27"/>
      <c r="L17" s="27"/>
      <c r="M17" s="27"/>
      <c r="N17" s="27"/>
      <c r="O17" s="27"/>
      <c r="P17" s="8" t="str">
        <f aca="false">IF(OR(L17="",$E17=""),"",IF(IF($D17="≥",L17&lt;$E17,L17&gt;$E17),"NOT MET",IF(OR($F17="",$H17&lt;&gt;"%",L$9="Y"),"MET",IF(OR(IF($G17="meters",L$6,IF($G17="bills",L$7,IF($G17="commands",L$8,"")))="",IF($G17="meters",L$6,IF($G17="bills",L$7,IF($G17="commands",L$8,"")))=0),"ENTER n",IF(IF($D17="≥",L17-$C$6*SQRT($C$5*L17*(1-L17)/IF($G17="meters",L$6,IF($G17="bills",L$7,IF($G17="commands",L$8,""))))&gt;=$E17-$F17,L17+$C$6*SQRT($C$5*L17*(1-L17)/IF($G17="meters",L$6,IF($G17="bills",L$7,IF($G17="commands",L$8,""))))&lt;=$E17+$F17),"MET","INCONCLUSIVE")))))</f>
        <v/>
      </c>
      <c r="Q17" s="8" t="str">
        <f aca="false">IF(OR(M17="",$E17=""),"",IF(IF($D17="≥",M17&lt;$E17,M17&gt;$E17),"NOT MET",IF(OR($F17="",$H17&lt;&gt;"%",M$9="Y"),"MET",IF(OR(IF($G17="meters",M$6,IF($G17="bills",M$7,IF($G17="commands",M$8,"")))="",IF($G17="meters",M$6,IF($G17="bills",M$7,IF($G17="commands",M$8,"")))=0),"ENTER n",IF(IF($D17="≥",M17-$C$6*SQRT($C$5*M17*(1-M17)/IF($G17="meters",M$6,IF($G17="bills",M$7,IF($G17="commands",M$8,""))))&gt;=$E17-$F17,M17+$C$6*SQRT($C$5*M17*(1-M17)/IF($G17="meters",M$6,IF($G17="bills",M$7,IF($G17="commands",M$8,""))))&lt;=$E17+$F17),"MET","INCONCLUSIVE")))))</f>
        <v/>
      </c>
      <c r="R17" s="8" t="str">
        <f aca="false">IF(OR(N17="",$E17=""),"",IF(IF($D17="≥",N17&lt;$E17,N17&gt;$E17),"NOT MET",IF(OR($F17="",$H17&lt;&gt;"%",N$9="Y"),"MET",IF(OR(IF($G17="meters",N$6,IF($G17="bills",N$7,IF($G17="commands",N$8,"")))="",IF($G17="meters",N$6,IF($G17="bills",N$7,IF($G17="commands",N$8,"")))=0),"ENTER n",IF(IF($D17="≥",N17-$C$6*SQRT($C$5*N17*(1-N17)/IF($G17="meters",N$6,IF($G17="bills",N$7,IF($G17="commands",N$8,""))))&gt;=$E17-$F17,N17+$C$6*SQRT($C$5*N17*(1-N17)/IF($G17="meters",N$6,IF($G17="bills",N$7,IF($G17="commands",N$8,""))))&lt;=$E17+$F17),"MET","INCONCLUSIVE")))))</f>
        <v/>
      </c>
      <c r="S17" s="8" t="str">
        <f aca="false">IF(OR(O17="",$E17=""),"",IF(IF($D17="≥",O17&lt;$E17,O17&gt;$E17),"NOT MET",IF(OR($F17="",$H17&lt;&gt;"%",O$9="Y"),"MET",IF(OR(IF($G17="meters",O$6,IF($G17="bills",O$7,IF($G17="commands",O$8,"")))="",IF($G17="meters",O$6,IF($G17="bills",O$7,IF($G17="commands",O$8,"")))=0),"ENTER n",IF(IF($D17="≥",O17-$C$6*SQRT($C$5*O17*(1-O17)/IF($G17="meters",O$6,IF($G17="bills",O$7,IF($G17="commands",O$8,""))))&gt;=$E17-$F17,O17+$C$6*SQRT($C$5*O17*(1-O17)/IF($G17="meters",O$6,IF($G17="bills",O$7,IF($G17="commands",O$8,""))))&lt;=$E17+$F17),"MET","INCONCLUSIVE")))))</f>
        <v/>
      </c>
      <c r="T17" s="17" t="str">
        <f aca="false">IF(COUNT(L17:O17)=0,"Pending",IF(E17="","Set threshold",IF(COUNTIF(P17:S17,"NOT MET")&gt;0,"NOT MET ("&amp;COUNTIF(P17:S17,"NOT MET")&amp;" stratum)",IF(COUNTIF(P17:S17,"INCONCLUSIVE")&gt;0,"INCONCLUSIVE: extend or enlarge",IF(COUNTIF(P17:S17,"ENTER n")&gt;0,"Enter n","MET")))))</f>
        <v>Pending</v>
      </c>
      <c r="U17" s="13"/>
    </row>
    <row r="18" customFormat="false" ht="22.35" hidden="false" customHeight="false" outlineLevel="0" collapsed="false">
      <c r="A18" s="12" t="s">
        <v>750</v>
      </c>
      <c r="B18" s="8"/>
      <c r="C18" s="17" t="s">
        <v>754</v>
      </c>
      <c r="D18" s="13" t="s">
        <v>734</v>
      </c>
      <c r="E18" s="27" t="n">
        <v>0.95</v>
      </c>
      <c r="F18" s="27"/>
      <c r="G18" s="13" t="s">
        <v>735</v>
      </c>
      <c r="H18" s="8" t="s">
        <v>267</v>
      </c>
      <c r="I18" s="13" t="s">
        <v>738</v>
      </c>
      <c r="J18" s="13" t="inlineStr">
        <is>
          <t>Not gated</t>
        </is>
      </c>
      <c r="K18" s="27"/>
      <c r="L18" s="27"/>
      <c r="M18" s="27"/>
      <c r="N18" s="27"/>
      <c r="O18" s="27"/>
      <c r="P18" s="8" t="str">
        <f aca="false">IF(OR(L18="",$E18=""),"",IF(IF($D18="≥",L18&lt;$E18,L18&gt;$E18),"NOT MET",IF(OR($F18="",$H18&lt;&gt;"%",L$9="Y"),"MET",IF(OR(IF($G18="meters",L$6,IF($G18="bills",L$7,IF($G18="commands",L$8,"")))="",IF($G18="meters",L$6,IF($G18="bills",L$7,IF($G18="commands",L$8,"")))=0),"ENTER n",IF(IF($D18="≥",L18-$C$6*SQRT($C$5*L18*(1-L18)/IF($G18="meters",L$6,IF($G18="bills",L$7,IF($G18="commands",L$8,""))))&gt;=$E18-$F18,L18+$C$6*SQRT($C$5*L18*(1-L18)/IF($G18="meters",L$6,IF($G18="bills",L$7,IF($G18="commands",L$8,""))))&lt;=$E18+$F18),"MET","INCONCLUSIVE")))))</f>
        <v/>
      </c>
      <c r="Q18" s="8" t="str">
        <f aca="false">IF(OR(M18="",$E18=""),"",IF(IF($D18="≥",M18&lt;$E18,M18&gt;$E18),"NOT MET",IF(OR($F18="",$H18&lt;&gt;"%",M$9="Y"),"MET",IF(OR(IF($G18="meters",M$6,IF($G18="bills",M$7,IF($G18="commands",M$8,"")))="",IF($G18="meters",M$6,IF($G18="bills",M$7,IF($G18="commands",M$8,"")))=0),"ENTER n",IF(IF($D18="≥",M18-$C$6*SQRT($C$5*M18*(1-M18)/IF($G18="meters",M$6,IF($G18="bills",M$7,IF($G18="commands",M$8,""))))&gt;=$E18-$F18,M18+$C$6*SQRT($C$5*M18*(1-M18)/IF($G18="meters",M$6,IF($G18="bills",M$7,IF($G18="commands",M$8,""))))&lt;=$E18+$F18),"MET","INCONCLUSIVE")))))</f>
        <v/>
      </c>
      <c r="R18" s="8" t="str">
        <f aca="false">IF(OR(N18="",$E18=""),"",IF(IF($D18="≥",N18&lt;$E18,N18&gt;$E18),"NOT MET",IF(OR($F18="",$H18&lt;&gt;"%",N$9="Y"),"MET",IF(OR(IF($G18="meters",N$6,IF($G18="bills",N$7,IF($G18="commands",N$8,"")))="",IF($G18="meters",N$6,IF($G18="bills",N$7,IF($G18="commands",N$8,"")))=0),"ENTER n",IF(IF($D18="≥",N18-$C$6*SQRT($C$5*N18*(1-N18)/IF($G18="meters",N$6,IF($G18="bills",N$7,IF($G18="commands",N$8,""))))&gt;=$E18-$F18,N18+$C$6*SQRT($C$5*N18*(1-N18)/IF($G18="meters",N$6,IF($G18="bills",N$7,IF($G18="commands",N$8,""))))&lt;=$E18+$F18),"MET","INCONCLUSIVE")))))</f>
        <v/>
      </c>
      <c r="S18" s="8" t="str">
        <f aca="false">IF(OR(O18="",$E18=""),"",IF(IF($D18="≥",O18&lt;$E18,O18&gt;$E18),"NOT MET",IF(OR($F18="",$H18&lt;&gt;"%",O$9="Y"),"MET",IF(OR(IF($G18="meters",O$6,IF($G18="bills",O$7,IF($G18="commands",O$8,"")))="",IF($G18="meters",O$6,IF($G18="bills",O$7,IF($G18="commands",O$8,"")))=0),"ENTER n",IF(IF($D18="≥",O18-$C$6*SQRT($C$5*O18*(1-O18)/IF($G18="meters",O$6,IF($G18="bills",O$7,IF($G18="commands",O$8,""))))&gt;=$E18-$F18,O18+$C$6*SQRT($C$5*O18*(1-O18)/IF($G18="meters",O$6,IF($G18="bills",O$7,IF($G18="commands",O$8,""))))&lt;=$E18+$F18),"MET","INCONCLUSIVE")))))</f>
        <v/>
      </c>
      <c r="T18" s="17" t="str">
        <f aca="false">IF(COUNT(L18:O18)=0,"Pending",IF(E18="","Set threshold",IF(COUNTIF(P18:S18,"NOT MET")&gt;0,"NOT MET ("&amp;COUNTIF(P18:S18,"NOT MET")&amp;" stratum)",IF(COUNTIF(P18:S18,"INCONCLUSIVE")&gt;0,"INCONCLUSIVE: extend or enlarge",IF(COUNTIF(P18:S18,"ENTER n")&gt;0,"Enter n","MET")))))</f>
        <v>Pending</v>
      </c>
      <c r="U18" s="13"/>
    </row>
    <row r="19" customFormat="false" ht="32.8" hidden="false" customHeight="false" outlineLevel="0" collapsed="false">
      <c r="A19" s="12" t="s">
        <v>755</v>
      </c>
      <c r="B19" s="8" t="s">
        <v>756</v>
      </c>
      <c r="C19" s="17" t="s">
        <v>757</v>
      </c>
      <c r="D19" s="13" t="s">
        <v>749</v>
      </c>
      <c r="E19" s="19" t="n">
        <v>0</v>
      </c>
      <c r="F19" s="19"/>
      <c r="G19" s="13" t="inlineStr">
        <is>
          <t>n/a</t>
        </is>
      </c>
      <c r="H19" s="8" t="s">
        <v>758</v>
      </c>
      <c r="I19" s="13" t="s">
        <v>736</v>
      </c>
      <c r="J19" s="13" t="s">
        <v>759</v>
      </c>
      <c r="K19" s="19"/>
      <c r="L19" s="19"/>
      <c r="M19" s="19"/>
      <c r="N19" s="19"/>
      <c r="O19" s="19"/>
      <c r="P19" s="8" t="str">
        <f aca="false">IF(OR(L19="",$E19=""),"",IF(IF($D19="≥",L19&lt;$E19,L19&gt;$E19),"NOT MET",IF(OR($F19="",$H19&lt;&gt;"%",L$9="Y"),"MET",IF(OR(IF($G19="meters",L$6,IF($G19="bills",L$7,IF($G19="commands",L$8,"")))="",IF($G19="meters",L$6,IF($G19="bills",L$7,IF($G19="commands",L$8,"")))=0),"ENTER n",IF(IF($D19="≥",L19-$C$6*SQRT($C$5*L19*(1-L19)/IF($G19="meters",L$6,IF($G19="bills",L$7,IF($G19="commands",L$8,""))))&gt;=$E19-$F19,L19+$C$6*SQRT($C$5*L19*(1-L19)/IF($G19="meters",L$6,IF($G19="bills",L$7,IF($G19="commands",L$8,""))))&lt;=$E19+$F19),"MET","INCONCLUSIVE")))))</f>
        <v/>
      </c>
      <c r="Q19" s="8" t="str">
        <f aca="false">IF(OR(M19="",$E19=""),"",IF(IF($D19="≥",M19&lt;$E19,M19&gt;$E19),"NOT MET",IF(OR($F19="",$H19&lt;&gt;"%",M$9="Y"),"MET",IF(OR(IF($G19="meters",M$6,IF($G19="bills",M$7,IF($G19="commands",M$8,"")))="",IF($G19="meters",M$6,IF($G19="bills",M$7,IF($G19="commands",M$8,"")))=0),"ENTER n",IF(IF($D19="≥",M19-$C$6*SQRT($C$5*M19*(1-M19)/IF($G19="meters",M$6,IF($G19="bills",M$7,IF($G19="commands",M$8,""))))&gt;=$E19-$F19,M19+$C$6*SQRT($C$5*M19*(1-M19)/IF($G19="meters",M$6,IF($G19="bills",M$7,IF($G19="commands",M$8,""))))&lt;=$E19+$F19),"MET","INCONCLUSIVE")))))</f>
        <v/>
      </c>
      <c r="R19" s="8" t="str">
        <f aca="false">IF(OR(N19="",$E19=""),"",IF(IF($D19="≥",N19&lt;$E19,N19&gt;$E19),"NOT MET",IF(OR($F19="",$H19&lt;&gt;"%",N$9="Y"),"MET",IF(OR(IF($G19="meters",N$6,IF($G19="bills",N$7,IF($G19="commands",N$8,"")))="",IF($G19="meters",N$6,IF($G19="bills",N$7,IF($G19="commands",N$8,"")))=0),"ENTER n",IF(IF($D19="≥",N19-$C$6*SQRT($C$5*N19*(1-N19)/IF($G19="meters",N$6,IF($G19="bills",N$7,IF($G19="commands",N$8,""))))&gt;=$E19-$F19,N19+$C$6*SQRT($C$5*N19*(1-N19)/IF($G19="meters",N$6,IF($G19="bills",N$7,IF($G19="commands",N$8,""))))&lt;=$E19+$F19),"MET","INCONCLUSIVE")))))</f>
        <v/>
      </c>
      <c r="S19" s="8" t="str">
        <f aca="false">IF(OR(O19="",$E19=""),"",IF(IF($D19="≥",O19&lt;$E19,O19&gt;$E19),"NOT MET",IF(OR($F19="",$H19&lt;&gt;"%",O$9="Y"),"MET",IF(OR(IF($G19="meters",O$6,IF($G19="bills",O$7,IF($G19="commands",O$8,"")))="",IF($G19="meters",O$6,IF($G19="bills",O$7,IF($G19="commands",O$8,"")))=0),"ENTER n",IF(IF($D19="≥",O19-$C$6*SQRT($C$5*O19*(1-O19)/IF($G19="meters",O$6,IF($G19="bills",O$7,IF($G19="commands",O$8,""))))&gt;=$E19-$F19,O19+$C$6*SQRT($C$5*O19*(1-O19)/IF($G19="meters",O$6,IF($G19="bills",O$7,IF($G19="commands",O$8,""))))&lt;=$E19+$F19),"MET","INCONCLUSIVE")))))</f>
        <v/>
      </c>
      <c r="T19" s="17" t="str">
        <f aca="false">IF(COUNT(L19:O19)=0,"Pending",IF(E19="","Set threshold",IF(COUNTIF(P19:S19,"NOT MET")&gt;0,"NOT MET ("&amp;COUNTIF(P19:S19,"NOT MET")&amp;" stratum)",IF(COUNTIF(P19:S19,"INCONCLUSIVE")&gt;0,"INCONCLUSIVE: extend or enlarge",IF(COUNTIF(P19:S19,"ENTER n")&gt;0,"Enter n","MET")))))</f>
        <v>Pending</v>
      </c>
      <c r="U19" s="13"/>
    </row>
    <row r="20" customFormat="false" ht="15" hidden="false" customHeight="false" outlineLevel="0" collapsed="false">
      <c r="A20" s="12" t="s">
        <v>755</v>
      </c>
      <c r="B20" s="8"/>
      <c r="C20" s="17" t="s">
        <v>760</v>
      </c>
      <c r="D20" s="13" t="s">
        <v>734</v>
      </c>
      <c r="E20" s="27" t="n">
        <v>0.995</v>
      </c>
      <c r="F20" s="27"/>
      <c r="G20" s="13" t="inlineStr">
        <is>
          <t>n/a</t>
        </is>
      </c>
      <c r="H20" s="8" t="s">
        <v>267</v>
      </c>
      <c r="I20" s="13" t="s">
        <v>738</v>
      </c>
      <c r="J20" s="13" t="inlineStr">
        <is>
          <t>Not gated</t>
        </is>
      </c>
      <c r="K20" s="27"/>
      <c r="L20" s="27"/>
      <c r="M20" s="27"/>
      <c r="N20" s="27"/>
      <c r="O20" s="27"/>
      <c r="P20" s="8" t="str">
        <f aca="false">IF(OR(L20="",$E20=""),"",IF(IF($D20="≥",L20&lt;$E20,L20&gt;$E20),"NOT MET",IF(OR($F20="",$H20&lt;&gt;"%",L$9="Y"),"MET",IF(OR(IF($G20="meters",L$6,IF($G20="bills",L$7,IF($G20="commands",L$8,"")))="",IF($G20="meters",L$6,IF($G20="bills",L$7,IF($G20="commands",L$8,"")))=0),"ENTER n",IF(IF($D20="≥",L20-$C$6*SQRT($C$5*L20*(1-L20)/IF($G20="meters",L$6,IF($G20="bills",L$7,IF($G20="commands",L$8,""))))&gt;=$E20-$F20,L20+$C$6*SQRT($C$5*L20*(1-L20)/IF($G20="meters",L$6,IF($G20="bills",L$7,IF($G20="commands",L$8,""))))&lt;=$E20+$F20),"MET","INCONCLUSIVE")))))</f>
        <v/>
      </c>
      <c r="Q20" s="8" t="str">
        <f aca="false">IF(OR(M20="",$E20=""),"",IF(IF($D20="≥",M20&lt;$E20,M20&gt;$E20),"NOT MET",IF(OR($F20="",$H20&lt;&gt;"%",M$9="Y"),"MET",IF(OR(IF($G20="meters",M$6,IF($G20="bills",M$7,IF($G20="commands",M$8,"")))="",IF($G20="meters",M$6,IF($G20="bills",M$7,IF($G20="commands",M$8,"")))=0),"ENTER n",IF(IF($D20="≥",M20-$C$6*SQRT($C$5*M20*(1-M20)/IF($G20="meters",M$6,IF($G20="bills",M$7,IF($G20="commands",M$8,""))))&gt;=$E20-$F20,M20+$C$6*SQRT($C$5*M20*(1-M20)/IF($G20="meters",M$6,IF($G20="bills",M$7,IF($G20="commands",M$8,""))))&lt;=$E20+$F20),"MET","INCONCLUSIVE")))))</f>
        <v/>
      </c>
      <c r="R20" s="8" t="str">
        <f aca="false">IF(OR(N20="",$E20=""),"",IF(IF($D20="≥",N20&lt;$E20,N20&gt;$E20),"NOT MET",IF(OR($F20="",$H20&lt;&gt;"%",N$9="Y"),"MET",IF(OR(IF($G20="meters",N$6,IF($G20="bills",N$7,IF($G20="commands",N$8,"")))="",IF($G20="meters",N$6,IF($G20="bills",N$7,IF($G20="commands",N$8,"")))=0),"ENTER n",IF(IF($D20="≥",N20-$C$6*SQRT($C$5*N20*(1-N20)/IF($G20="meters",N$6,IF($G20="bills",N$7,IF($G20="commands",N$8,""))))&gt;=$E20-$F20,N20+$C$6*SQRT($C$5*N20*(1-N20)/IF($G20="meters",N$6,IF($G20="bills",N$7,IF($G20="commands",N$8,""))))&lt;=$E20+$F20),"MET","INCONCLUSIVE")))))</f>
        <v/>
      </c>
      <c r="S20" s="8" t="str">
        <f aca="false">IF(OR(O20="",$E20=""),"",IF(IF($D20="≥",O20&lt;$E20,O20&gt;$E20),"NOT MET",IF(OR($F20="",$H20&lt;&gt;"%",O$9="Y"),"MET",IF(OR(IF($G20="meters",O$6,IF($G20="bills",O$7,IF($G20="commands",O$8,"")))="",IF($G20="meters",O$6,IF($G20="bills",O$7,IF($G20="commands",O$8,"")))=0),"ENTER n",IF(IF($D20="≥",O20-$C$6*SQRT($C$5*O20*(1-O20)/IF($G20="meters",O$6,IF($G20="bills",O$7,IF($G20="commands",O$8,""))))&gt;=$E20-$F20,O20+$C$6*SQRT($C$5*O20*(1-O20)/IF($G20="meters",O$6,IF($G20="bills",O$7,IF($G20="commands",O$8,""))))&lt;=$E20+$F20),"MET","INCONCLUSIVE")))))</f>
        <v/>
      </c>
      <c r="T20" s="17" t="str">
        <f aca="false">IF(COUNT(L20:O20)=0,"Pending",IF(E20="","Set threshold",IF(COUNTIF(P20:S20,"NOT MET")&gt;0,"NOT MET ("&amp;COUNTIF(P20:S20,"NOT MET")&amp;" stratum)",IF(COUNTIF(P20:S20,"INCONCLUSIVE")&gt;0,"INCONCLUSIVE: extend or enlarge",IF(COUNTIF(P20:S20,"ENTER n")&gt;0,"Enter n","MET")))))</f>
        <v>Pending</v>
      </c>
      <c r="U20" s="13"/>
    </row>
    <row r="21" customFormat="false" ht="22.35" hidden="false" customHeight="false" outlineLevel="0" collapsed="false">
      <c r="A21" s="12" t="s">
        <v>761</v>
      </c>
      <c r="B21" s="8" t="s">
        <v>762</v>
      </c>
      <c r="C21" s="17" t="s">
        <v>763</v>
      </c>
      <c r="D21" s="13" t="s">
        <v>734</v>
      </c>
      <c r="E21" s="27" t="n">
        <v>0.95</v>
      </c>
      <c r="F21" s="27"/>
      <c r="G21" s="13" t="inlineStr">
        <is>
          <t>n/a</t>
        </is>
      </c>
      <c r="H21" s="8" t="s">
        <v>267</v>
      </c>
      <c r="I21" s="13" t="s">
        <v>738</v>
      </c>
      <c r="J21" s="13" t="inlineStr">
        <is>
          <t>Not gated</t>
        </is>
      </c>
      <c r="K21" s="27"/>
      <c r="L21" s="27"/>
      <c r="M21" s="27"/>
      <c r="N21" s="27"/>
      <c r="O21" s="27"/>
      <c r="P21" s="8" t="str">
        <f aca="false">IF(OR(L21="",$E21=""),"",IF(IF($D21="≥",L21&lt;$E21,L21&gt;$E21),"NOT MET",IF(OR($F21="",$H21&lt;&gt;"%",L$9="Y"),"MET",IF(OR(IF($G21="meters",L$6,IF($G21="bills",L$7,IF($G21="commands",L$8,"")))="",IF($G21="meters",L$6,IF($G21="bills",L$7,IF($G21="commands",L$8,"")))=0),"ENTER n",IF(IF($D21="≥",L21-$C$6*SQRT($C$5*L21*(1-L21)/IF($G21="meters",L$6,IF($G21="bills",L$7,IF($G21="commands",L$8,""))))&gt;=$E21-$F21,L21+$C$6*SQRT($C$5*L21*(1-L21)/IF($G21="meters",L$6,IF($G21="bills",L$7,IF($G21="commands",L$8,""))))&lt;=$E21+$F21),"MET","INCONCLUSIVE")))))</f>
        <v/>
      </c>
      <c r="Q21" s="8" t="str">
        <f aca="false">IF(OR(M21="",$E21=""),"",IF(IF($D21="≥",M21&lt;$E21,M21&gt;$E21),"NOT MET",IF(OR($F21="",$H21&lt;&gt;"%",M$9="Y"),"MET",IF(OR(IF($G21="meters",M$6,IF($G21="bills",M$7,IF($G21="commands",M$8,"")))="",IF($G21="meters",M$6,IF($G21="bills",M$7,IF($G21="commands",M$8,"")))=0),"ENTER n",IF(IF($D21="≥",M21-$C$6*SQRT($C$5*M21*(1-M21)/IF($G21="meters",M$6,IF($G21="bills",M$7,IF($G21="commands",M$8,""))))&gt;=$E21-$F21,M21+$C$6*SQRT($C$5*M21*(1-M21)/IF($G21="meters",M$6,IF($G21="bills",M$7,IF($G21="commands",M$8,""))))&lt;=$E21+$F21),"MET","INCONCLUSIVE")))))</f>
        <v/>
      </c>
      <c r="R21" s="8" t="str">
        <f aca="false">IF(OR(N21="",$E21=""),"",IF(IF($D21="≥",N21&lt;$E21,N21&gt;$E21),"NOT MET",IF(OR($F21="",$H21&lt;&gt;"%",N$9="Y"),"MET",IF(OR(IF($G21="meters",N$6,IF($G21="bills",N$7,IF($G21="commands",N$8,"")))="",IF($G21="meters",N$6,IF($G21="bills",N$7,IF($G21="commands",N$8,"")))=0),"ENTER n",IF(IF($D21="≥",N21-$C$6*SQRT($C$5*N21*(1-N21)/IF($G21="meters",N$6,IF($G21="bills",N$7,IF($G21="commands",N$8,""))))&gt;=$E21-$F21,N21+$C$6*SQRT($C$5*N21*(1-N21)/IF($G21="meters",N$6,IF($G21="bills",N$7,IF($G21="commands",N$8,""))))&lt;=$E21+$F21),"MET","INCONCLUSIVE")))))</f>
        <v/>
      </c>
      <c r="S21" s="8" t="str">
        <f aca="false">IF(OR(O21="",$E21=""),"",IF(IF($D21="≥",O21&lt;$E21,O21&gt;$E21),"NOT MET",IF(OR($F21="",$H21&lt;&gt;"%",O$9="Y"),"MET",IF(OR(IF($G21="meters",O$6,IF($G21="bills",O$7,IF($G21="commands",O$8,"")))="",IF($G21="meters",O$6,IF($G21="bills",O$7,IF($G21="commands",O$8,"")))=0),"ENTER n",IF(IF($D21="≥",O21-$C$6*SQRT($C$5*O21*(1-O21)/IF($G21="meters",O$6,IF($G21="bills",O$7,IF($G21="commands",O$8,""))))&gt;=$E21-$F21,O21+$C$6*SQRT($C$5*O21*(1-O21)/IF($G21="meters",O$6,IF($G21="bills",O$7,IF($G21="commands",O$8,""))))&lt;=$E21+$F21),"MET","INCONCLUSIVE")))))</f>
        <v/>
      </c>
      <c r="T21" s="17" t="str">
        <f aca="false">IF(COUNT(L21:O21)=0,"Pending",IF(E21="","Set threshold",IF(COUNTIF(P21:S21,"NOT MET")&gt;0,"NOT MET ("&amp;COUNTIF(P21:S21,"NOT MET")&amp;" stratum)",IF(COUNTIF(P21:S21,"INCONCLUSIVE")&gt;0,"INCONCLUSIVE: extend or enlarge",IF(COUNTIF(P21:S21,"ENTER n")&gt;0,"Enter n","MET")))))</f>
        <v>Pending</v>
      </c>
      <c r="U21" s="13"/>
    </row>
    <row r="22" customFormat="false" ht="22.35" hidden="false" customHeight="false" outlineLevel="0" collapsed="false">
      <c r="A22" s="12" t="s">
        <v>764</v>
      </c>
      <c r="B22" s="8" t="s">
        <v>765</v>
      </c>
      <c r="C22" s="17" t="s">
        <v>766</v>
      </c>
      <c r="D22" s="13" t="s">
        <v>734</v>
      </c>
      <c r="E22" s="27" t="n">
        <v>0.95</v>
      </c>
      <c r="F22" s="27"/>
      <c r="G22" s="13" t="inlineStr">
        <is>
          <t>n/a</t>
        </is>
      </c>
      <c r="H22" s="8" t="s">
        <v>267</v>
      </c>
      <c r="I22" s="13" t="s">
        <v>738</v>
      </c>
      <c r="J22" s="13" t="inlineStr">
        <is>
          <t>Not gated</t>
        </is>
      </c>
      <c r="K22" s="27"/>
      <c r="L22" s="27"/>
      <c r="M22" s="27"/>
      <c r="N22" s="27"/>
      <c r="O22" s="27"/>
      <c r="P22" s="8" t="str">
        <f aca="false">IF(OR(L22="",$E22=""),"",IF(IF($D22="≥",L22&lt;$E22,L22&gt;$E22),"NOT MET",IF(OR($F22="",$H22&lt;&gt;"%",L$9="Y"),"MET",IF(OR(IF($G22="meters",L$6,IF($G22="bills",L$7,IF($G22="commands",L$8,"")))="",IF($G22="meters",L$6,IF($G22="bills",L$7,IF($G22="commands",L$8,"")))=0),"ENTER n",IF(IF($D22="≥",L22-$C$6*SQRT($C$5*L22*(1-L22)/IF($G22="meters",L$6,IF($G22="bills",L$7,IF($G22="commands",L$8,""))))&gt;=$E22-$F22,L22+$C$6*SQRT($C$5*L22*(1-L22)/IF($G22="meters",L$6,IF($G22="bills",L$7,IF($G22="commands",L$8,""))))&lt;=$E22+$F22),"MET","INCONCLUSIVE")))))</f>
        <v/>
      </c>
      <c r="Q22" s="8" t="str">
        <f aca="false">IF(OR(M22="",$E22=""),"",IF(IF($D22="≥",M22&lt;$E22,M22&gt;$E22),"NOT MET",IF(OR($F22="",$H22&lt;&gt;"%",M$9="Y"),"MET",IF(OR(IF($G22="meters",M$6,IF($G22="bills",M$7,IF($G22="commands",M$8,"")))="",IF($G22="meters",M$6,IF($G22="bills",M$7,IF($G22="commands",M$8,"")))=0),"ENTER n",IF(IF($D22="≥",M22-$C$6*SQRT($C$5*M22*(1-M22)/IF($G22="meters",M$6,IF($G22="bills",M$7,IF($G22="commands",M$8,""))))&gt;=$E22-$F22,M22+$C$6*SQRT($C$5*M22*(1-M22)/IF($G22="meters",M$6,IF($G22="bills",M$7,IF($G22="commands",M$8,""))))&lt;=$E22+$F22),"MET","INCONCLUSIVE")))))</f>
        <v/>
      </c>
      <c r="R22" s="8" t="str">
        <f aca="false">IF(OR(N22="",$E22=""),"",IF(IF($D22="≥",N22&lt;$E22,N22&gt;$E22),"NOT MET",IF(OR($F22="",$H22&lt;&gt;"%",N$9="Y"),"MET",IF(OR(IF($G22="meters",N$6,IF($G22="bills",N$7,IF($G22="commands",N$8,"")))="",IF($G22="meters",N$6,IF($G22="bills",N$7,IF($G22="commands",N$8,"")))=0),"ENTER n",IF(IF($D22="≥",N22-$C$6*SQRT($C$5*N22*(1-N22)/IF($G22="meters",N$6,IF($G22="bills",N$7,IF($G22="commands",N$8,""))))&gt;=$E22-$F22,N22+$C$6*SQRT($C$5*N22*(1-N22)/IF($G22="meters",N$6,IF($G22="bills",N$7,IF($G22="commands",N$8,""))))&lt;=$E22+$F22),"MET","INCONCLUSIVE")))))</f>
        <v/>
      </c>
      <c r="S22" s="8" t="str">
        <f aca="false">IF(OR(O22="",$E22=""),"",IF(IF($D22="≥",O22&lt;$E22,O22&gt;$E22),"NOT MET",IF(OR($F22="",$H22&lt;&gt;"%",O$9="Y"),"MET",IF(OR(IF($G22="meters",O$6,IF($G22="bills",O$7,IF($G22="commands",O$8,"")))="",IF($G22="meters",O$6,IF($G22="bills",O$7,IF($G22="commands",O$8,"")))=0),"ENTER n",IF(IF($D22="≥",O22-$C$6*SQRT($C$5*O22*(1-O22)/IF($G22="meters",O$6,IF($G22="bills",O$7,IF($G22="commands",O$8,""))))&gt;=$E22-$F22,O22+$C$6*SQRT($C$5*O22*(1-O22)/IF($G22="meters",O$6,IF($G22="bills",O$7,IF($G22="commands",O$8,""))))&lt;=$E22+$F22),"MET","INCONCLUSIVE")))))</f>
        <v/>
      </c>
      <c r="T22" s="17" t="str">
        <f aca="false">IF(COUNT(L22:O22)=0,"Pending",IF(E22="","Set threshold",IF(COUNTIF(P22:S22,"NOT MET")&gt;0,"NOT MET ("&amp;COUNTIF(P22:S22,"NOT MET")&amp;" stratum)",IF(COUNTIF(P22:S22,"INCONCLUSIVE")&gt;0,"INCONCLUSIVE: extend or enlarge",IF(COUNTIF(P22:S22,"ENTER n")&gt;0,"Enter n","MET")))))</f>
        <v>Pending</v>
      </c>
      <c r="U22" s="13"/>
    </row>
    <row r="23" customFormat="false" ht="22.35" hidden="false" customHeight="false" outlineLevel="0" collapsed="false">
      <c r="A23" s="12" t="s">
        <v>764</v>
      </c>
      <c r="B23" s="8"/>
      <c r="C23" s="17" t="s">
        <v>767</v>
      </c>
      <c r="D23" s="13" t="s">
        <v>749</v>
      </c>
      <c r="E23" s="19" t="n">
        <v>5</v>
      </c>
      <c r="F23" s="19"/>
      <c r="G23" s="13" t="inlineStr">
        <is>
          <t>n/a</t>
        </is>
      </c>
      <c r="H23" s="8" t="s">
        <v>768</v>
      </c>
      <c r="I23" s="13" t="s">
        <v>738</v>
      </c>
      <c r="J23" s="13" t="inlineStr">
        <is>
          <t>Not gated</t>
        </is>
      </c>
      <c r="K23" s="19"/>
      <c r="L23" s="19"/>
      <c r="M23" s="19"/>
      <c r="N23" s="19"/>
      <c r="O23" s="19"/>
      <c r="P23" s="8" t="str">
        <f aca="false">IF(OR(L23="",$E23=""),"",IF(IF($D23="≥",L23&lt;$E23,L23&gt;$E23),"NOT MET",IF(OR($F23="",$H23&lt;&gt;"%",L$9="Y"),"MET",IF(OR(IF($G23="meters",L$6,IF($G23="bills",L$7,IF($G23="commands",L$8,"")))="",IF($G23="meters",L$6,IF($G23="bills",L$7,IF($G23="commands",L$8,"")))=0),"ENTER n",IF(IF($D23="≥",L23-$C$6*SQRT($C$5*L23*(1-L23)/IF($G23="meters",L$6,IF($G23="bills",L$7,IF($G23="commands",L$8,""))))&gt;=$E23-$F23,L23+$C$6*SQRT($C$5*L23*(1-L23)/IF($G23="meters",L$6,IF($G23="bills",L$7,IF($G23="commands",L$8,""))))&lt;=$E23+$F23),"MET","INCONCLUSIVE")))))</f>
        <v/>
      </c>
      <c r="Q23" s="8" t="str">
        <f aca="false">IF(OR(M23="",$E23=""),"",IF(IF($D23="≥",M23&lt;$E23,M23&gt;$E23),"NOT MET",IF(OR($F23="",$H23&lt;&gt;"%",M$9="Y"),"MET",IF(OR(IF($G23="meters",M$6,IF($G23="bills",M$7,IF($G23="commands",M$8,"")))="",IF($G23="meters",M$6,IF($G23="bills",M$7,IF($G23="commands",M$8,"")))=0),"ENTER n",IF(IF($D23="≥",M23-$C$6*SQRT($C$5*M23*(1-M23)/IF($G23="meters",M$6,IF($G23="bills",M$7,IF($G23="commands",M$8,""))))&gt;=$E23-$F23,M23+$C$6*SQRT($C$5*M23*(1-M23)/IF($G23="meters",M$6,IF($G23="bills",M$7,IF($G23="commands",M$8,""))))&lt;=$E23+$F23),"MET","INCONCLUSIVE")))))</f>
        <v/>
      </c>
      <c r="R23" s="8" t="str">
        <f aca="false">IF(OR(N23="",$E23=""),"",IF(IF($D23="≥",N23&lt;$E23,N23&gt;$E23),"NOT MET",IF(OR($F23="",$H23&lt;&gt;"%",N$9="Y"),"MET",IF(OR(IF($G23="meters",N$6,IF($G23="bills",N$7,IF($G23="commands",N$8,"")))="",IF($G23="meters",N$6,IF($G23="bills",N$7,IF($G23="commands",N$8,"")))=0),"ENTER n",IF(IF($D23="≥",N23-$C$6*SQRT($C$5*N23*(1-N23)/IF($G23="meters",N$6,IF($G23="bills",N$7,IF($G23="commands",N$8,""))))&gt;=$E23-$F23,N23+$C$6*SQRT($C$5*N23*(1-N23)/IF($G23="meters",N$6,IF($G23="bills",N$7,IF($G23="commands",N$8,""))))&lt;=$E23+$F23),"MET","INCONCLUSIVE")))))</f>
        <v/>
      </c>
      <c r="S23" s="8" t="str">
        <f aca="false">IF(OR(O23="",$E23=""),"",IF(IF($D23="≥",O23&lt;$E23,O23&gt;$E23),"NOT MET",IF(OR($F23="",$H23&lt;&gt;"%",O$9="Y"),"MET",IF(OR(IF($G23="meters",O$6,IF($G23="bills",O$7,IF($G23="commands",O$8,"")))="",IF($G23="meters",O$6,IF($G23="bills",O$7,IF($G23="commands",O$8,"")))=0),"ENTER n",IF(IF($D23="≥",O23-$C$6*SQRT($C$5*O23*(1-O23)/IF($G23="meters",O$6,IF($G23="bills",O$7,IF($G23="commands",O$8,""))))&gt;=$E23-$F23,O23+$C$6*SQRT($C$5*O23*(1-O23)/IF($G23="meters",O$6,IF($G23="bills",O$7,IF($G23="commands",O$8,""))))&lt;=$E23+$F23),"MET","INCONCLUSIVE")))))</f>
        <v/>
      </c>
      <c r="T23" s="17" t="str">
        <f aca="false">IF(COUNT(L23:O23)=0,"Pending",IF(E23="","Set threshold",IF(COUNTIF(P23:S23,"NOT MET")&gt;0,"NOT MET ("&amp;COUNTIF(P23:S23,"NOT MET")&amp;" stratum)",IF(COUNTIF(P23:S23,"INCONCLUSIVE")&gt;0,"INCONCLUSIVE: extend or enlarge",IF(COUNTIF(P23:S23,"ENTER n")&gt;0,"Enter n","MET")))))</f>
        <v>Pending</v>
      </c>
      <c r="U23" s="13"/>
    </row>
    <row r="24" customFormat="false" ht="22.35" hidden="false" customHeight="false" outlineLevel="0" collapsed="false">
      <c r="A24" s="12" t="s">
        <v>764</v>
      </c>
      <c r="B24" s="8"/>
      <c r="C24" s="17" t="s">
        <v>769</v>
      </c>
      <c r="D24" s="13" t="s">
        <v>749</v>
      </c>
      <c r="E24" s="19" t="n">
        <v>10</v>
      </c>
      <c r="F24" s="19"/>
      <c r="G24" s="13" t="inlineStr">
        <is>
          <t>n/a</t>
        </is>
      </c>
      <c r="H24" s="8" t="s">
        <v>768</v>
      </c>
      <c r="I24" s="13" t="s">
        <v>738</v>
      </c>
      <c r="J24" s="13" t="inlineStr">
        <is>
          <t>Not gated</t>
        </is>
      </c>
      <c r="K24" s="19"/>
      <c r="L24" s="19"/>
      <c r="M24" s="19"/>
      <c r="N24" s="19"/>
      <c r="O24" s="19"/>
      <c r="P24" s="8" t="str">
        <f aca="false">IF(OR(L24="",$E24=""),"",IF(IF($D24="≥",L24&lt;$E24,L24&gt;$E24),"NOT MET",IF(OR($F24="",$H24&lt;&gt;"%",L$9="Y"),"MET",IF(OR(IF($G24="meters",L$6,IF($G24="bills",L$7,IF($G24="commands",L$8,"")))="",IF($G24="meters",L$6,IF($G24="bills",L$7,IF($G24="commands",L$8,"")))=0),"ENTER n",IF(IF($D24="≥",L24-$C$6*SQRT($C$5*L24*(1-L24)/IF($G24="meters",L$6,IF($G24="bills",L$7,IF($G24="commands",L$8,""))))&gt;=$E24-$F24,L24+$C$6*SQRT($C$5*L24*(1-L24)/IF($G24="meters",L$6,IF($G24="bills",L$7,IF($G24="commands",L$8,""))))&lt;=$E24+$F24),"MET","INCONCLUSIVE")))))</f>
        <v/>
      </c>
      <c r="Q24" s="8" t="str">
        <f aca="false">IF(OR(M24="",$E24=""),"",IF(IF($D24="≥",M24&lt;$E24,M24&gt;$E24),"NOT MET",IF(OR($F24="",$H24&lt;&gt;"%",M$9="Y"),"MET",IF(OR(IF($G24="meters",M$6,IF($G24="bills",M$7,IF($G24="commands",M$8,"")))="",IF($G24="meters",M$6,IF($G24="bills",M$7,IF($G24="commands",M$8,"")))=0),"ENTER n",IF(IF($D24="≥",M24-$C$6*SQRT($C$5*M24*(1-M24)/IF($G24="meters",M$6,IF($G24="bills",M$7,IF($G24="commands",M$8,""))))&gt;=$E24-$F24,M24+$C$6*SQRT($C$5*M24*(1-M24)/IF($G24="meters",M$6,IF($G24="bills",M$7,IF($G24="commands",M$8,""))))&lt;=$E24+$F24),"MET","INCONCLUSIVE")))))</f>
        <v/>
      </c>
      <c r="R24" s="8" t="str">
        <f aca="false">IF(OR(N24="",$E24=""),"",IF(IF($D24="≥",N24&lt;$E24,N24&gt;$E24),"NOT MET",IF(OR($F24="",$H24&lt;&gt;"%",N$9="Y"),"MET",IF(OR(IF($G24="meters",N$6,IF($G24="bills",N$7,IF($G24="commands",N$8,"")))="",IF($G24="meters",N$6,IF($G24="bills",N$7,IF($G24="commands",N$8,"")))=0),"ENTER n",IF(IF($D24="≥",N24-$C$6*SQRT($C$5*N24*(1-N24)/IF($G24="meters",N$6,IF($G24="bills",N$7,IF($G24="commands",N$8,""))))&gt;=$E24-$F24,N24+$C$6*SQRT($C$5*N24*(1-N24)/IF($G24="meters",N$6,IF($G24="bills",N$7,IF($G24="commands",N$8,""))))&lt;=$E24+$F24),"MET","INCONCLUSIVE")))))</f>
        <v/>
      </c>
      <c r="S24" s="8" t="str">
        <f aca="false">IF(OR(O24="",$E24=""),"",IF(IF($D24="≥",O24&lt;$E24,O24&gt;$E24),"NOT MET",IF(OR($F24="",$H24&lt;&gt;"%",O$9="Y"),"MET",IF(OR(IF($G24="meters",O$6,IF($G24="bills",O$7,IF($G24="commands",O$8,"")))="",IF($G24="meters",O$6,IF($G24="bills",O$7,IF($G24="commands",O$8,"")))=0),"ENTER n",IF(IF($D24="≥",O24-$C$6*SQRT($C$5*O24*(1-O24)/IF($G24="meters",O$6,IF($G24="bills",O$7,IF($G24="commands",O$8,""))))&gt;=$E24-$F24,O24+$C$6*SQRT($C$5*O24*(1-O24)/IF($G24="meters",O$6,IF($G24="bills",O$7,IF($G24="commands",O$8,""))))&lt;=$E24+$F24),"MET","INCONCLUSIVE")))))</f>
        <v/>
      </c>
      <c r="T24" s="17" t="str">
        <f aca="false">IF(COUNT(L24:O24)=0,"Pending",IF(E24="","Set threshold",IF(COUNTIF(P24:S24,"NOT MET")&gt;0,"NOT MET ("&amp;COUNTIF(P24:S24,"NOT MET")&amp;" stratum)",IF(COUNTIF(P24:S24,"INCONCLUSIVE")&gt;0,"INCONCLUSIVE: extend or enlarge",IF(COUNTIF(P24:S24,"ENTER n")&gt;0,"Enter n","MET")))))</f>
        <v>Pending</v>
      </c>
      <c r="U24" s="13"/>
    </row>
    <row r="25" customFormat="false" ht="15" hidden="false" customHeight="false" outlineLevel="0" collapsed="false">
      <c r="A25" s="12" t="s">
        <v>764</v>
      </c>
      <c r="B25" s="8"/>
      <c r="C25" s="17" t="s">
        <v>770</v>
      </c>
      <c r="D25" s="13" t="s">
        <v>734</v>
      </c>
      <c r="E25" s="27" t="n">
        <v>0.85</v>
      </c>
      <c r="F25" s="27"/>
      <c r="G25" s="13" t="inlineStr">
        <is>
          <t>n/a</t>
        </is>
      </c>
      <c r="H25" s="8" t="s">
        <v>267</v>
      </c>
      <c r="I25" s="13" t="s">
        <v>738</v>
      </c>
      <c r="J25" s="13" t="inlineStr">
        <is>
          <t>Not gated</t>
        </is>
      </c>
      <c r="K25" s="27"/>
      <c r="L25" s="27"/>
      <c r="M25" s="27"/>
      <c r="N25" s="27"/>
      <c r="O25" s="27"/>
      <c r="P25" s="8" t="str">
        <f aca="false">IF(OR(L25="",$E25=""),"",IF(IF($D25="≥",L25&lt;$E25,L25&gt;$E25),"NOT MET",IF(OR($F25="",$H25&lt;&gt;"%",L$9="Y"),"MET",IF(OR(IF($G25="meters",L$6,IF($G25="bills",L$7,IF($G25="commands",L$8,"")))="",IF($G25="meters",L$6,IF($G25="bills",L$7,IF($G25="commands",L$8,"")))=0),"ENTER n",IF(IF($D25="≥",L25-$C$6*SQRT($C$5*L25*(1-L25)/IF($G25="meters",L$6,IF($G25="bills",L$7,IF($G25="commands",L$8,""))))&gt;=$E25-$F25,L25+$C$6*SQRT($C$5*L25*(1-L25)/IF($G25="meters",L$6,IF($G25="bills",L$7,IF($G25="commands",L$8,""))))&lt;=$E25+$F25),"MET","INCONCLUSIVE")))))</f>
        <v/>
      </c>
      <c r="Q25" s="8" t="str">
        <f aca="false">IF(OR(M25="",$E25=""),"",IF(IF($D25="≥",M25&lt;$E25,M25&gt;$E25),"NOT MET",IF(OR($F25="",$H25&lt;&gt;"%",M$9="Y"),"MET",IF(OR(IF($G25="meters",M$6,IF($G25="bills",M$7,IF($G25="commands",M$8,"")))="",IF($G25="meters",M$6,IF($G25="bills",M$7,IF($G25="commands",M$8,"")))=0),"ENTER n",IF(IF($D25="≥",M25-$C$6*SQRT($C$5*M25*(1-M25)/IF($G25="meters",M$6,IF($G25="bills",M$7,IF($G25="commands",M$8,""))))&gt;=$E25-$F25,M25+$C$6*SQRT($C$5*M25*(1-M25)/IF($G25="meters",M$6,IF($G25="bills",M$7,IF($G25="commands",M$8,""))))&lt;=$E25+$F25),"MET","INCONCLUSIVE")))))</f>
        <v/>
      </c>
      <c r="R25" s="8" t="str">
        <f aca="false">IF(OR(N25="",$E25=""),"",IF(IF($D25="≥",N25&lt;$E25,N25&gt;$E25),"NOT MET",IF(OR($F25="",$H25&lt;&gt;"%",N$9="Y"),"MET",IF(OR(IF($G25="meters",N$6,IF($G25="bills",N$7,IF($G25="commands",N$8,"")))="",IF($G25="meters",N$6,IF($G25="bills",N$7,IF($G25="commands",N$8,"")))=0),"ENTER n",IF(IF($D25="≥",N25-$C$6*SQRT($C$5*N25*(1-N25)/IF($G25="meters",N$6,IF($G25="bills",N$7,IF($G25="commands",N$8,""))))&gt;=$E25-$F25,N25+$C$6*SQRT($C$5*N25*(1-N25)/IF($G25="meters",N$6,IF($G25="bills",N$7,IF($G25="commands",N$8,""))))&lt;=$E25+$F25),"MET","INCONCLUSIVE")))))</f>
        <v/>
      </c>
      <c r="S25" s="8" t="str">
        <f aca="false">IF(OR(O25="",$E25=""),"",IF(IF($D25="≥",O25&lt;$E25,O25&gt;$E25),"NOT MET",IF(OR($F25="",$H25&lt;&gt;"%",O$9="Y"),"MET",IF(OR(IF($G25="meters",O$6,IF($G25="bills",O$7,IF($G25="commands",O$8,"")))="",IF($G25="meters",O$6,IF($G25="bills",O$7,IF($G25="commands",O$8,"")))=0),"ENTER n",IF(IF($D25="≥",O25-$C$6*SQRT($C$5*O25*(1-O25)/IF($G25="meters",O$6,IF($G25="bills",O$7,IF($G25="commands",O$8,""))))&gt;=$E25-$F25,O25+$C$6*SQRT($C$5*O25*(1-O25)/IF($G25="meters",O$6,IF($G25="bills",O$7,IF($G25="commands",O$8,""))))&lt;=$E25+$F25),"MET","INCONCLUSIVE")))))</f>
        <v/>
      </c>
      <c r="T25" s="17" t="str">
        <f aca="false">IF(COUNT(L25:O25)=0,"Pending",IF(E25="","Set threshold",IF(COUNTIF(P25:S25,"NOT MET")&gt;0,"NOT MET ("&amp;COUNTIF(P25:S25,"NOT MET")&amp;" stratum)",IF(COUNTIF(P25:S25,"INCONCLUSIVE")&gt;0,"INCONCLUSIVE: extend or enlarge",IF(COUNTIF(P25:S25,"ENTER n")&gt;0,"Enter n","MET")))))</f>
        <v>Pending</v>
      </c>
      <c r="U25" s="13"/>
    </row>
    <row r="26" customFormat="false" ht="32.8" hidden="false" customHeight="false" outlineLevel="0" collapsed="false">
      <c r="A26" s="12" t="s">
        <v>771</v>
      </c>
      <c r="B26" s="8" t="s">
        <v>772</v>
      </c>
      <c r="C26" s="17" t="s">
        <v>773</v>
      </c>
      <c r="D26" s="13" t="s">
        <v>734</v>
      </c>
      <c r="E26" s="43"/>
      <c r="F26" s="43"/>
      <c r="G26" s="13" t="inlineStr">
        <is>
          <t>n/a</t>
        </is>
      </c>
      <c r="H26" s="8" t="s">
        <v>774</v>
      </c>
      <c r="I26" s="13" t="s">
        <v>736</v>
      </c>
      <c r="J26" s="13" t="s">
        <v>745</v>
      </c>
      <c r="K26" s="43"/>
      <c r="L26" s="43"/>
      <c r="M26" s="43"/>
      <c r="N26" s="43"/>
      <c r="O26" s="43"/>
      <c r="P26" s="8" t="str">
        <f aca="false">IF(OR(L26="",$E26=""),"",IF(IF($D26="≥",L26&lt;$E26,L26&gt;$E26),"NOT MET",IF(OR($F26="",$H26&lt;&gt;"%",L$9="Y"),"MET",IF(OR(IF($G26="meters",L$6,IF($G26="bills",L$7,IF($G26="commands",L$8,"")))="",IF($G26="meters",L$6,IF($G26="bills",L$7,IF($G26="commands",L$8,"")))=0),"ENTER n",IF(IF($D26="≥",L26-$C$6*SQRT($C$5*L26*(1-L26)/IF($G26="meters",L$6,IF($G26="bills",L$7,IF($G26="commands",L$8,""))))&gt;=$E26-$F26,L26+$C$6*SQRT($C$5*L26*(1-L26)/IF($G26="meters",L$6,IF($G26="bills",L$7,IF($G26="commands",L$8,""))))&lt;=$E26+$F26),"MET","INCONCLUSIVE")))))</f>
        <v/>
      </c>
      <c r="Q26" s="8" t="str">
        <f aca="false">IF(OR(M26="",$E26=""),"",IF(IF($D26="≥",M26&lt;$E26,M26&gt;$E26),"NOT MET",IF(OR($F26="",$H26&lt;&gt;"%",M$9="Y"),"MET",IF(OR(IF($G26="meters",M$6,IF($G26="bills",M$7,IF($G26="commands",M$8,"")))="",IF($G26="meters",M$6,IF($G26="bills",M$7,IF($G26="commands",M$8,"")))=0),"ENTER n",IF(IF($D26="≥",M26-$C$6*SQRT($C$5*M26*(1-M26)/IF($G26="meters",M$6,IF($G26="bills",M$7,IF($G26="commands",M$8,""))))&gt;=$E26-$F26,M26+$C$6*SQRT($C$5*M26*(1-M26)/IF($G26="meters",M$6,IF($G26="bills",M$7,IF($G26="commands",M$8,""))))&lt;=$E26+$F26),"MET","INCONCLUSIVE")))))</f>
        <v/>
      </c>
      <c r="R26" s="8" t="str">
        <f aca="false">IF(OR(N26="",$E26=""),"",IF(IF($D26="≥",N26&lt;$E26,N26&gt;$E26),"NOT MET",IF(OR($F26="",$H26&lt;&gt;"%",N$9="Y"),"MET",IF(OR(IF($G26="meters",N$6,IF($G26="bills",N$7,IF($G26="commands",N$8,"")))="",IF($G26="meters",N$6,IF($G26="bills",N$7,IF($G26="commands",N$8,"")))=0),"ENTER n",IF(IF($D26="≥",N26-$C$6*SQRT($C$5*N26*(1-N26)/IF($G26="meters",N$6,IF($G26="bills",N$7,IF($G26="commands",N$8,""))))&gt;=$E26-$F26,N26+$C$6*SQRT($C$5*N26*(1-N26)/IF($G26="meters",N$6,IF($G26="bills",N$7,IF($G26="commands",N$8,""))))&lt;=$E26+$F26),"MET","INCONCLUSIVE")))))</f>
        <v/>
      </c>
      <c r="S26" s="8" t="str">
        <f aca="false">IF(OR(O26="",$E26=""),"",IF(IF($D26="≥",O26&lt;$E26,O26&gt;$E26),"NOT MET",IF(OR($F26="",$H26&lt;&gt;"%",O$9="Y"),"MET",IF(OR(IF($G26="meters",O$6,IF($G26="bills",O$7,IF($G26="commands",O$8,"")))="",IF($G26="meters",O$6,IF($G26="bills",O$7,IF($G26="commands",O$8,"")))=0),"ENTER n",IF(IF($D26="≥",O26-$C$6*SQRT($C$5*O26*(1-O26)/IF($G26="meters",O$6,IF($G26="bills",O$7,IF($G26="commands",O$8,""))))&gt;=$E26-$F26,O26+$C$6*SQRT($C$5*O26*(1-O26)/IF($G26="meters",O$6,IF($G26="bills",O$7,IF($G26="commands",O$8,""))))&lt;=$E26+$F26),"MET","INCONCLUSIVE")))))</f>
        <v/>
      </c>
      <c r="T26" s="17" t="str">
        <f aca="false">IF(COUNT(L26:O26)=0,"Pending",IF(E26="","Set threshold",IF(COUNTIF(P26:S26,"NOT MET")&gt;0,"NOT MET ("&amp;COUNTIF(P26:S26,"NOT MET")&amp;" stratum)",IF(COUNTIF(P26:S26,"INCONCLUSIVE")&gt;0,"INCONCLUSIVE: extend or enlarge",IF(COUNTIF(P26:S26,"ENTER n")&gt;0,"Enter n","MET")))))</f>
        <v>Pending</v>
      </c>
      <c r="U26" s="13"/>
    </row>
    <row r="27" customFormat="false" ht="15" hidden="false" customHeight="false" outlineLevel="0" collapsed="false">
      <c r="A27" s="12" t="s">
        <v>775</v>
      </c>
      <c r="B27" s="8" t="s">
        <v>776</v>
      </c>
      <c r="C27" s="17" t="s">
        <v>777</v>
      </c>
      <c r="D27" s="13" t="s">
        <v>749</v>
      </c>
      <c r="E27" s="19"/>
      <c r="F27" s="19"/>
      <c r="G27" s="13" t="inlineStr">
        <is>
          <t>n/a</t>
        </is>
      </c>
      <c r="H27" s="8" t="s">
        <v>280</v>
      </c>
      <c r="I27" s="13" t="s">
        <v>738</v>
      </c>
      <c r="J27" s="13" t="inlineStr">
        <is>
          <t>Not gated</t>
        </is>
      </c>
      <c r="K27" s="19"/>
      <c r="L27" s="19"/>
      <c r="M27" s="19"/>
      <c r="N27" s="19"/>
      <c r="O27" s="19"/>
      <c r="P27" s="8" t="str">
        <f aca="false">IF(OR(L27="",$E27=""),"",IF(IF($D27="≥",L27&lt;$E27,L27&gt;$E27),"NOT MET",IF(OR($F27="",$H27&lt;&gt;"%",L$9="Y"),"MET",IF(OR(IF($G27="meters",L$6,IF($G27="bills",L$7,IF($G27="commands",L$8,"")))="",IF($G27="meters",L$6,IF($G27="bills",L$7,IF($G27="commands",L$8,"")))=0),"ENTER n",IF(IF($D27="≥",L27-$C$6*SQRT($C$5*L27*(1-L27)/IF($G27="meters",L$6,IF($G27="bills",L$7,IF($G27="commands",L$8,""))))&gt;=$E27-$F27,L27+$C$6*SQRT($C$5*L27*(1-L27)/IF($G27="meters",L$6,IF($G27="bills",L$7,IF($G27="commands",L$8,""))))&lt;=$E27+$F27),"MET","INCONCLUSIVE")))))</f>
        <v/>
      </c>
      <c r="Q27" s="8" t="str">
        <f aca="false">IF(OR(M27="",$E27=""),"",IF(IF($D27="≥",M27&lt;$E27,M27&gt;$E27),"NOT MET",IF(OR($F27="",$H27&lt;&gt;"%",M$9="Y"),"MET",IF(OR(IF($G27="meters",M$6,IF($G27="bills",M$7,IF($G27="commands",M$8,"")))="",IF($G27="meters",M$6,IF($G27="bills",M$7,IF($G27="commands",M$8,"")))=0),"ENTER n",IF(IF($D27="≥",M27-$C$6*SQRT($C$5*M27*(1-M27)/IF($G27="meters",M$6,IF($G27="bills",M$7,IF($G27="commands",M$8,""))))&gt;=$E27-$F27,M27+$C$6*SQRT($C$5*M27*(1-M27)/IF($G27="meters",M$6,IF($G27="bills",M$7,IF($G27="commands",M$8,""))))&lt;=$E27+$F27),"MET","INCONCLUSIVE")))))</f>
        <v/>
      </c>
      <c r="R27" s="8" t="str">
        <f aca="false">IF(OR(N27="",$E27=""),"",IF(IF($D27="≥",N27&lt;$E27,N27&gt;$E27),"NOT MET",IF(OR($F27="",$H27&lt;&gt;"%",N$9="Y"),"MET",IF(OR(IF($G27="meters",N$6,IF($G27="bills",N$7,IF($G27="commands",N$8,"")))="",IF($G27="meters",N$6,IF($G27="bills",N$7,IF($G27="commands",N$8,"")))=0),"ENTER n",IF(IF($D27="≥",N27-$C$6*SQRT($C$5*N27*(1-N27)/IF($G27="meters",N$6,IF($G27="bills",N$7,IF($G27="commands",N$8,""))))&gt;=$E27-$F27,N27+$C$6*SQRT($C$5*N27*(1-N27)/IF($G27="meters",N$6,IF($G27="bills",N$7,IF($G27="commands",N$8,""))))&lt;=$E27+$F27),"MET","INCONCLUSIVE")))))</f>
        <v/>
      </c>
      <c r="S27" s="8" t="str">
        <f aca="false">IF(OR(O27="",$E27=""),"",IF(IF($D27="≥",O27&lt;$E27,O27&gt;$E27),"NOT MET",IF(OR($F27="",$H27&lt;&gt;"%",O$9="Y"),"MET",IF(OR(IF($G27="meters",O$6,IF($G27="bills",O$7,IF($G27="commands",O$8,"")))="",IF($G27="meters",O$6,IF($G27="bills",O$7,IF($G27="commands",O$8,"")))=0),"ENTER n",IF(IF($D27="≥",O27-$C$6*SQRT($C$5*O27*(1-O27)/IF($G27="meters",O$6,IF($G27="bills",O$7,IF($G27="commands",O$8,""))))&gt;=$E27-$F27,O27+$C$6*SQRT($C$5*O27*(1-O27)/IF($G27="meters",O$6,IF($G27="bills",O$7,IF($G27="commands",O$8,""))))&lt;=$E27+$F27),"MET","INCONCLUSIVE")))))</f>
        <v/>
      </c>
      <c r="T27" s="17" t="str">
        <f aca="false">IF(COUNT(L27:O27)=0,"Pending",IF(E27="","Set threshold",IF(COUNTIF(P27:S27,"NOT MET")&gt;0,"NOT MET ("&amp;COUNTIF(P27:S27,"NOT MET")&amp;" stratum)",IF(COUNTIF(P27:S27,"INCONCLUSIVE")&gt;0,"INCONCLUSIVE: extend or enlarge",IF(COUNTIF(P27:S27,"ENTER n")&gt;0,"Enter n","MET")))))</f>
        <v>Pending</v>
      </c>
      <c r="U27" s="13"/>
    </row>
    <row r="29" customFormat="false" ht="22.35" hidden="false" customHeight="false" outlineLevel="0" collapsed="false">
      <c r="A29" s="12" t="s">
        <v>778</v>
      </c>
    </row>
    <row r="30" customFormat="false" ht="32.8" hidden="false" customHeight="false" outlineLevel="0" collapsed="false">
      <c r="B30" s="17" t="s">
        <v>779</v>
      </c>
      <c r="C30" s="8" t="n">
        <f aca="false">COUNTIF(I12:I27,"Must-Pass")</f>
        <v>7</v>
      </c>
      <c r="E30" s="18" t="str">
        <f aca="false">"Must-Pass not met in "&amp;L5</f>
        <v>Must-Pass not met in Stratum 1</v>
      </c>
      <c r="I30" s="17" t="n">
        <f aca="false">COUNTIFS($I$12:$I$27,"Must-Pass",P12:P27,"NOT MET")</f>
        <v>0</v>
      </c>
    </row>
    <row r="31" customFormat="false" ht="32.8" hidden="false" customHeight="false" outlineLevel="0" collapsed="false">
      <c r="B31" s="17" t="s">
        <v>780</v>
      </c>
      <c r="C31" s="8" t="n">
        <f aca="false">COUNTIFS(I12:I27,"Must-Pass",T12:T27,"NOT MET*")</f>
        <v>0</v>
      </c>
      <c r="E31" s="18" t="str">
        <f aca="false">"Must-Pass not met in "&amp;M5</f>
        <v>Must-Pass not met in Stratum 2</v>
      </c>
      <c r="I31" s="17" t="n">
        <f aca="false">COUNTIFS($I$12:$I$27,"Must-Pass",Q12:Q27,"NOT MET")</f>
        <v>0</v>
      </c>
    </row>
    <row r="32" customFormat="false" ht="32.8" hidden="false" customHeight="false" outlineLevel="0" collapsed="false">
      <c r="B32" s="17" t="s">
        <v>781</v>
      </c>
      <c r="C32" s="8" t="n">
        <f aca="false">COUNTIFS(I12:I27,"Must-Pass",T12:T27,"INCONCLUSIVE*")+COUNTIFS(I12:I27,"Must-Pass",T12:T27,"Pending")+COUNTIFS(I12:I27,"Must-Pass",T12:T27,"Set threshold")+COUNTIFS(I12:I27,"Must-Pass",T12:T27,"Enter n")</f>
        <v>7</v>
      </c>
      <c r="E32" s="18" t="str">
        <f aca="false">"Must-Pass not met in "&amp;N5</f>
        <v>Must-Pass not met in Stratum 3</v>
      </c>
      <c r="I32" s="17" t="n">
        <f aca="false">COUNTIFS($I$12:$I$27,"Must-Pass",R12:R27,"NOT MET")</f>
        <v>0</v>
      </c>
    </row>
    <row r="33" customFormat="false" ht="32.8" hidden="false" customHeight="false" outlineLevel="0" collapsed="false">
      <c r="B33" s="17" t="s">
        <v>782</v>
      </c>
      <c r="C33" s="17" t="str">
        <f aca="false">IF(C31&gt;0,"NO: decide by stratum (Protocol 9.6)",IF(C32&gt;0,"Not yet","YES"))</f>
        <v>Not yet</v>
      </c>
      <c r="E33" s="18" t="str">
        <f aca="false">"Must-Pass not met in "&amp;O5</f>
        <v>Must-Pass not met in Stratum 4</v>
      </c>
      <c r="I33" s="17" t="n">
        <f aca="false">COUNTIFS($I$12:$I$27,"Must-Pass",S12:S27,"NOT MET")</f>
        <v>0</v>
      </c>
    </row>
    <row r="34" customFormat="false" ht="22.35" hidden="false" customHeight="false" outlineLevel="0" collapsed="false">
      <c r="B34" s="17" t="s">
        <v>783</v>
      </c>
      <c r="C34" s="8" t="n">
        <f aca="false">COUNTIFS(I12:I27,"Must-Pass",H12:H27,"%",F12:F27,"",E12:E27,"&lt;1")</f>
        <v>0</v>
      </c>
    </row>
    <row r="36" customFormat="false" ht="15" hidden="false" customHeight="false" outlineLevel="0" collapsed="false">
      <c r="A36" s="9" t="s">
        <v>784</v>
      </c>
    </row>
    <row r="37" customFormat="false" ht="15" hidden="false" customHeight="false" outlineLevel="0" collapsed="false">
      <c r="A37" s="9" t="s">
        <v>785</v>
      </c>
    </row>
    <row r="38" customFormat="false" ht="15" hidden="false" customHeight="false" outlineLevel="0" collapsed="false">
      <c r="A38" s="9" t="s">
        <v>786</v>
      </c>
    </row>
  </sheetData>
  <dataValidations count="4">
    <dataValidation allowBlank="true" errorStyle="stop" operator="between" showDropDown="false" showErrorMessage="false" showInputMessage="false" sqref="L9:O9" type="list">
      <formula1>"Y,N"</formula1>
      <formula2>0</formula2>
    </dataValidation>
    <dataValidation allowBlank="true" errorStyle="stop" operator="between" showDropDown="false" showErrorMessage="false" showInputMessage="false" sqref="D12:D27" type="list">
      <formula1>"≥,≤"</formula1>
      <formula2>0</formula2>
    </dataValidation>
    <dataValidation allowBlank="true" errorStyle="stop" operator="between" showDropDown="false" showErrorMessage="false" showInputMessage="false" sqref="I12:I27" type="list">
      <formula1>"Must-Pass,Monitor"</formula1>
      <formula2>0</formula2>
    </dataValidation>
    <dataValidation allowBlank="true" errorStyle="stop" operator="between" showDropDown="false" showErrorMessage="false" showInputMessage="false" sqref="G12:G27" type="list">
      <formula1>"meters,bills,commands,n/a"</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I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0"/>
    <col collapsed="false" customWidth="true" hidden="false" outlineLevel="0" max="2" min="2" style="0" width="12"/>
    <col collapsed="false" customWidth="true" hidden="false" outlineLevel="0" max="3" min="3" style="0" width="34"/>
    <col collapsed="false" customWidth="true" hidden="false" outlineLevel="0" max="4" min="4" style="0" width="14"/>
    <col collapsed="false" customWidth="true" hidden="false" outlineLevel="0" max="5" min="5" style="0" width="12"/>
    <col collapsed="false" customWidth="true" hidden="false" outlineLevel="0" max="7" min="6" style="0" width="14"/>
    <col collapsed="false" customWidth="true" hidden="false" outlineLevel="0" max="8" min="8" style="0" width="24"/>
    <col collapsed="false" customWidth="true" hidden="false" outlineLevel="0" max="9" min="9" style="0" width="10"/>
  </cols>
  <sheetData>
    <row r="1" customFormat="false" ht="17.35" hidden="false" customHeight="false" outlineLevel="0" collapsed="false">
      <c r="A1" s="10" t="s">
        <v>787</v>
      </c>
    </row>
    <row r="2" customFormat="false" ht="15" hidden="false" customHeight="false" outlineLevel="0" collapsed="false">
      <c r="A2" s="11" t="s">
        <v>788</v>
      </c>
    </row>
    <row r="3" customFormat="false" ht="15" hidden="false" customHeight="false" outlineLevel="0" collapsed="false">
      <c r="A3" s="9" t="s">
        <v>134</v>
      </c>
    </row>
    <row r="5" customFormat="false" ht="30" hidden="false" customHeight="true" outlineLevel="0" collapsed="false">
      <c r="A5" s="6" t="s">
        <v>789</v>
      </c>
      <c r="B5" s="6" t="s">
        <v>334</v>
      </c>
      <c r="C5" s="6" t="s">
        <v>790</v>
      </c>
      <c r="D5" s="6" t="s">
        <v>791</v>
      </c>
      <c r="E5" s="6" t="s">
        <v>792</v>
      </c>
      <c r="F5" s="6" t="s">
        <v>793</v>
      </c>
      <c r="G5" s="6" t="s">
        <v>219</v>
      </c>
    </row>
    <row r="6" customFormat="false" ht="15" hidden="false" customHeight="false" outlineLevel="0" collapsed="false">
      <c r="A6" s="12" t="s">
        <v>794</v>
      </c>
      <c r="B6" s="24" t="n">
        <v>0.2</v>
      </c>
      <c r="C6" s="13"/>
      <c r="D6" s="13"/>
      <c r="E6" s="13"/>
      <c r="F6" s="13"/>
      <c r="G6" s="13"/>
    </row>
    <row r="7" customFormat="false" ht="15" hidden="false" customHeight="false" outlineLevel="0" collapsed="false">
      <c r="A7" s="12" t="s">
        <v>795</v>
      </c>
      <c r="B7" s="24" t="n">
        <v>0.15</v>
      </c>
      <c r="C7" s="13"/>
      <c r="D7" s="13"/>
      <c r="E7" s="13"/>
      <c r="F7" s="13"/>
      <c r="G7" s="13"/>
    </row>
    <row r="8" customFormat="false" ht="15" hidden="false" customHeight="false" outlineLevel="0" collapsed="false">
      <c r="A8" s="12" t="s">
        <v>796</v>
      </c>
      <c r="B8" s="24" t="n">
        <v>0.15</v>
      </c>
      <c r="C8" s="13"/>
      <c r="D8" s="13"/>
      <c r="E8" s="13"/>
      <c r="F8" s="13"/>
      <c r="G8" s="13"/>
    </row>
    <row r="9" customFormat="false" ht="15" hidden="false" customHeight="false" outlineLevel="0" collapsed="false">
      <c r="A9" s="12" t="s">
        <v>797</v>
      </c>
      <c r="B9" s="24" t="n">
        <v>0.15</v>
      </c>
      <c r="C9" s="13"/>
      <c r="D9" s="13"/>
      <c r="E9" s="13"/>
      <c r="F9" s="13"/>
      <c r="G9" s="13"/>
    </row>
    <row r="10" customFormat="false" ht="22.35" hidden="false" customHeight="false" outlineLevel="0" collapsed="false">
      <c r="A10" s="12" t="s">
        <v>798</v>
      </c>
      <c r="B10" s="24" t="n">
        <v>0.1</v>
      </c>
      <c r="C10" s="13"/>
      <c r="D10" s="13"/>
      <c r="E10" s="13"/>
      <c r="F10" s="13"/>
      <c r="G10" s="13"/>
    </row>
    <row r="11" customFormat="false" ht="15" hidden="false" customHeight="false" outlineLevel="0" collapsed="false">
      <c r="A11" s="12" t="s">
        <v>799</v>
      </c>
      <c r="B11" s="24" t="n">
        <v>0.1</v>
      </c>
      <c r="C11" s="13"/>
      <c r="D11" s="13"/>
      <c r="E11" s="13"/>
      <c r="F11" s="13"/>
      <c r="G11" s="13"/>
    </row>
    <row r="12" customFormat="false" ht="15" hidden="false" customHeight="false" outlineLevel="0" collapsed="false">
      <c r="A12" s="12" t="s">
        <v>800</v>
      </c>
      <c r="B12" s="24" t="n">
        <v>0.1</v>
      </c>
      <c r="C12" s="13"/>
      <c r="D12" s="13"/>
      <c r="E12" s="13"/>
      <c r="F12" s="13"/>
      <c r="G12" s="13"/>
    </row>
    <row r="13" customFormat="false" ht="15" hidden="false" customHeight="false" outlineLevel="0" collapsed="false">
      <c r="A13" s="12" t="s">
        <v>801</v>
      </c>
      <c r="B13" s="24" t="n">
        <v>0.05</v>
      </c>
      <c r="C13" s="13"/>
      <c r="D13" s="13"/>
      <c r="E13" s="13"/>
      <c r="F13" s="13"/>
      <c r="G13" s="13"/>
    </row>
    <row r="14" customFormat="false" ht="15" hidden="false" customHeight="false" outlineLevel="0" collapsed="false">
      <c r="A14" s="12" t="s">
        <v>802</v>
      </c>
      <c r="B14" s="25" t="n">
        <f aca="false">SUM(B6:B13)</f>
        <v>1</v>
      </c>
      <c r="C14" s="17" t="str">
        <f aca="false">IF(COUNT(C6:C13)&lt;8,"",ROUND(SUMPRODUCT($B$6:$B$13,C6:C13)/SUM($B$6:$B$13),2))</f>
        <v/>
      </c>
      <c r="D14" s="17" t="str">
        <f aca="false">IF(COUNT(D6:D13)&lt;8,"",ROUND(SUMPRODUCT($B$6:$B$13,D6:D13)/SUM($B$6:$B$13),2))</f>
        <v/>
      </c>
      <c r="E14" s="17" t="str">
        <f aca="false">IF(COUNT(E6:E13)&lt;8,"",ROUND(SUMPRODUCT($B$6:$B$13,E6:E13)/SUM($B$6:$B$13),2))</f>
        <v/>
      </c>
      <c r="F14" s="17" t="str">
        <f aca="false">IF(COUNT(F6:F13)&lt;8,"",ROUND(SUMPRODUCT($B$6:$B$13,F6:F13)/SUM($B$6:$B$13),2))</f>
        <v/>
      </c>
    </row>
    <row r="17" customFormat="false" ht="15" hidden="false" customHeight="false" outlineLevel="0" collapsed="false">
      <c r="A17" s="16" t="s">
        <v>803</v>
      </c>
    </row>
    <row r="18" customFormat="false" ht="30" hidden="false" customHeight="true" outlineLevel="0" collapsed="false">
      <c r="A18" s="6" t="s">
        <v>804</v>
      </c>
      <c r="B18" s="6" t="s">
        <v>476</v>
      </c>
      <c r="C18" s="6" t="s">
        <v>805</v>
      </c>
    </row>
    <row r="19" customFormat="false" ht="22.35" hidden="false" customHeight="false" outlineLevel="0" collapsed="false">
      <c r="A19" s="12" t="s">
        <v>806</v>
      </c>
      <c r="B19" s="27" t="n">
        <v>0.98</v>
      </c>
      <c r="C19" s="18" t="s">
        <v>807</v>
      </c>
    </row>
    <row r="20" customFormat="false" ht="15" hidden="false" customHeight="false" outlineLevel="0" collapsed="false">
      <c r="A20" s="12" t="s">
        <v>808</v>
      </c>
      <c r="B20" s="27" t="n">
        <v>0.01</v>
      </c>
      <c r="C20" s="18" t="s">
        <v>809</v>
      </c>
    </row>
    <row r="21" customFormat="false" ht="15" hidden="false" customHeight="false" outlineLevel="0" collapsed="false">
      <c r="A21" s="12" t="s">
        <v>810</v>
      </c>
      <c r="B21" s="24" t="n">
        <v>0.95</v>
      </c>
      <c r="C21" s="18" t="s">
        <v>811</v>
      </c>
    </row>
    <row r="22" customFormat="false" ht="32.8" hidden="false" customHeight="false" outlineLevel="0" collapsed="false">
      <c r="A22" s="12" t="s">
        <v>812</v>
      </c>
      <c r="B22" s="43" t="n">
        <v>1.5</v>
      </c>
      <c r="C22" s="18" t="s">
        <v>813</v>
      </c>
    </row>
    <row r="23" customFormat="false" ht="15" hidden="false" customHeight="false" outlineLevel="0" collapsed="false">
      <c r="A23" s="12" t="s">
        <v>814</v>
      </c>
      <c r="B23" s="37" t="n">
        <f aca="false">IF(B21=0.9,1.645,IF(B21=0.99,2.576,1.96))</f>
        <v>1.96</v>
      </c>
    </row>
    <row r="24" customFormat="false" ht="43.25" hidden="false" customHeight="false" outlineLevel="0" collapsed="false">
      <c r="A24" s="12" t="s">
        <v>815</v>
      </c>
      <c r="B24" s="45" t="n">
        <f aca="false">IF(OR(B19="",B20="",B20=0),"",ROUNDUP(B23^2*B19*(1-B19)/B20^2*B22,0))</f>
        <v>1130</v>
      </c>
      <c r="C24" s="18" t="s">
        <v>816</v>
      </c>
    </row>
    <row r="25" customFormat="false" ht="22.35" hidden="false" customHeight="false" outlineLevel="0" collapsed="false">
      <c r="A25" s="12" t="s">
        <v>817</v>
      </c>
      <c r="B25" s="28"/>
      <c r="C25" s="18" t="s">
        <v>818</v>
      </c>
    </row>
    <row r="26" customFormat="false" ht="15" hidden="false" customHeight="false" outlineLevel="0" collapsed="false">
      <c r="A26" s="12" t="s">
        <v>819</v>
      </c>
      <c r="B26" s="45" t="n">
        <f aca="false">IF(B24="","",IF(OR(B25="",B25=0),B24,ROUNDUP(B24/(1+(B24-1)/B25),0)))</f>
        <v>1130</v>
      </c>
    </row>
    <row r="27" customFormat="false" ht="32.8" hidden="false" customHeight="false" outlineLevel="0" collapsed="false">
      <c r="A27" s="12" t="s">
        <v>820</v>
      </c>
      <c r="B27" s="17" t="str">
        <f aca="false">IF(OR(B25="",B25=0),"Sample (large stratum)",IF(OR(B25&lt;300,B26&gt;0.7*B25),"Census: meter the whole stratum","Sample of "&amp;TEXT(B26,"#,##0")))</f>
        <v>Sample (large stratum)</v>
      </c>
      <c r="C27" s="18" t="s">
        <v>821</v>
      </c>
    </row>
    <row r="30" customFormat="false" ht="15" hidden="false" customHeight="false" outlineLevel="0" collapsed="false">
      <c r="A30" s="16" t="s">
        <v>822</v>
      </c>
    </row>
    <row r="31" customFormat="false" ht="30" hidden="false" customHeight="true" outlineLevel="0" collapsed="false">
      <c r="A31" s="6" t="s">
        <v>823</v>
      </c>
      <c r="B31" s="6" t="s">
        <v>824</v>
      </c>
      <c r="C31" s="6" t="s">
        <v>825</v>
      </c>
      <c r="D31" s="6" t="s">
        <v>826</v>
      </c>
      <c r="E31" s="6" t="s">
        <v>827</v>
      </c>
      <c r="F31" s="6" t="s">
        <v>828</v>
      </c>
      <c r="G31" s="6" t="s">
        <v>829</v>
      </c>
      <c r="H31" s="6" t="s">
        <v>830</v>
      </c>
      <c r="I31" s="6" t="s">
        <v>831</v>
      </c>
    </row>
    <row r="32" customFormat="false" ht="15" hidden="false" customHeight="false" outlineLevel="0" collapsed="false">
      <c r="A32" s="13"/>
      <c r="B32" s="13"/>
      <c r="C32" s="13"/>
      <c r="D32" s="13"/>
      <c r="E32" s="28"/>
      <c r="F32" s="28"/>
      <c r="G32" s="8" t="str">
        <f aca="false">IF(I32="Y","Yes (census)",IF(OR(E32="",F32=""),"",IF(E32&gt;=F32,"Yes","Indicative only")))</f>
        <v/>
      </c>
      <c r="H32" s="13"/>
      <c r="I32" s="13"/>
    </row>
    <row r="33" customFormat="false" ht="15" hidden="false" customHeight="false" outlineLevel="0" collapsed="false">
      <c r="A33" s="13"/>
      <c r="B33" s="13"/>
      <c r="C33" s="13"/>
      <c r="D33" s="13"/>
      <c r="E33" s="28"/>
      <c r="F33" s="28"/>
      <c r="G33" s="8" t="str">
        <f aca="false">IF(I33="Y","Yes (census)",IF(OR(E33="",F33=""),"",IF(E33&gt;=F33,"Yes","Indicative only")))</f>
        <v/>
      </c>
      <c r="H33" s="13"/>
      <c r="I33" s="13"/>
    </row>
    <row r="34" customFormat="false" ht="15" hidden="false" customHeight="false" outlineLevel="0" collapsed="false">
      <c r="A34" s="13"/>
      <c r="B34" s="13"/>
      <c r="C34" s="13"/>
      <c r="D34" s="13"/>
      <c r="E34" s="28"/>
      <c r="F34" s="28"/>
      <c r="G34" s="8" t="str">
        <f aca="false">IF(I34="Y","Yes (census)",IF(OR(E34="",F34=""),"",IF(E34&gt;=F34,"Yes","Indicative only")))</f>
        <v/>
      </c>
      <c r="H34" s="13"/>
      <c r="I34" s="13"/>
    </row>
    <row r="35" customFormat="false" ht="15" hidden="false" customHeight="false" outlineLevel="0" collapsed="false">
      <c r="A35" s="13"/>
      <c r="B35" s="13"/>
      <c r="C35" s="13"/>
      <c r="D35" s="13"/>
      <c r="E35" s="28"/>
      <c r="F35" s="28"/>
      <c r="G35" s="8" t="str">
        <f aca="false">IF(I35="Y","Yes (census)",IF(OR(E35="",F35=""),"",IF(E35&gt;=F35,"Yes","Indicative only")))</f>
        <v/>
      </c>
      <c r="H35" s="13"/>
      <c r="I35" s="13"/>
    </row>
    <row r="36" customFormat="false" ht="15" hidden="false" customHeight="false" outlineLevel="0" collapsed="false">
      <c r="A36" s="13"/>
      <c r="B36" s="13"/>
      <c r="C36" s="13"/>
      <c r="D36" s="13"/>
      <c r="E36" s="28"/>
      <c r="F36" s="28"/>
      <c r="G36" s="8" t="str">
        <f aca="false">IF(I36="Y","Yes (census)",IF(OR(E36="",F36=""),"",IF(E36&gt;=F36,"Yes","Indicative only")))</f>
        <v/>
      </c>
      <c r="H36" s="13"/>
      <c r="I36" s="13"/>
    </row>
    <row r="37" customFormat="false" ht="15" hidden="false" customHeight="false" outlineLevel="0" collapsed="false">
      <c r="A37" s="13"/>
      <c r="B37" s="13"/>
      <c r="C37" s="13"/>
      <c r="D37" s="13"/>
      <c r="E37" s="28"/>
      <c r="F37" s="28"/>
      <c r="G37" s="8" t="str">
        <f aca="false">IF(I37="Y","Yes (census)",IF(OR(E37="",F37=""),"",IF(E37&gt;=F37,"Yes","Indicative only")))</f>
        <v/>
      </c>
      <c r="H37" s="13"/>
      <c r="I37" s="13"/>
    </row>
    <row r="38" customFormat="false" ht="15" hidden="false" customHeight="false" outlineLevel="0" collapsed="false">
      <c r="A38" s="13"/>
      <c r="B38" s="13"/>
      <c r="C38" s="13"/>
      <c r="D38" s="13"/>
      <c r="E38" s="28"/>
      <c r="F38" s="28"/>
      <c r="G38" s="8" t="str">
        <f aca="false">IF(I38="Y","Yes (census)",IF(OR(E38="",F38=""),"",IF(E38&gt;=F38,"Yes","Indicative only")))</f>
        <v/>
      </c>
      <c r="H38" s="13"/>
      <c r="I38" s="13"/>
    </row>
    <row r="39" customFormat="false" ht="15" hidden="false" customHeight="false" outlineLevel="0" collapsed="false">
      <c r="A39" s="13"/>
      <c r="B39" s="13"/>
      <c r="C39" s="13"/>
      <c r="D39" s="13"/>
      <c r="E39" s="28"/>
      <c r="F39" s="28"/>
      <c r="G39" s="8" t="str">
        <f aca="false">IF(I39="Y","Yes (census)",IF(OR(E39="",F39=""),"",IF(E39&gt;=F39,"Yes","Indicative only")))</f>
        <v/>
      </c>
      <c r="H39" s="13"/>
      <c r="I39" s="13"/>
    </row>
    <row r="40" customFormat="false" ht="15" hidden="false" customHeight="false" outlineLevel="0" collapsed="false">
      <c r="A40" s="13"/>
      <c r="B40" s="13"/>
      <c r="C40" s="13"/>
      <c r="D40" s="13"/>
      <c r="E40" s="28"/>
      <c r="F40" s="28"/>
      <c r="G40" s="8" t="str">
        <f aca="false">IF(I40="Y","Yes (census)",IF(OR(E40="",F40=""),"",IF(E40&gt;=F40,"Yes","Indicative only")))</f>
        <v/>
      </c>
      <c r="H40" s="13"/>
      <c r="I40" s="13"/>
    </row>
    <row r="41" customFormat="false" ht="15" hidden="false" customHeight="false" outlineLevel="0" collapsed="false">
      <c r="A41" s="13"/>
      <c r="B41" s="13"/>
      <c r="C41" s="13"/>
      <c r="D41" s="13"/>
      <c r="E41" s="28"/>
      <c r="F41" s="28"/>
      <c r="G41" s="8" t="str">
        <f aca="false">IF(I41="Y","Yes (census)",IF(OR(E41="",F41=""),"",IF(E41&gt;=F41,"Yes","Indicative only")))</f>
        <v/>
      </c>
      <c r="H41" s="13"/>
      <c r="I41" s="13"/>
    </row>
  </sheetData>
  <dataValidations count="3">
    <dataValidation allowBlank="true" errorStyle="stop" operator="between" showDropDown="false" showErrorMessage="false" showInputMessage="false" sqref="C6:F13" type="whole">
      <formula1>1</formula1>
      <formula2>5</formula2>
    </dataValidation>
    <dataValidation allowBlank="true" errorStyle="stop" operator="between" showDropDown="false" showErrorMessage="false" showInputMessage="false" sqref="B21" type="list">
      <formula1>"0.9,0.95,0.99"</formula1>
      <formula2>0</formula2>
    </dataValidation>
    <dataValidation allowBlank="true" errorStyle="stop" operator="between" showDropDown="false" showErrorMessage="false" showInputMessage="false" sqref="I32:I41" type="list">
      <formula1>"Y,N"</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G2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5" topLeftCell="B6" activePane="bottomRight" state="frozen"/>
      <selection pane="topLeft" activeCell="A1" activeCellId="0" sqref="A1"/>
      <selection pane="topRight" activeCell="B1" activeCellId="0" sqref="B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36"/>
    <col collapsed="false" customWidth="true" hidden="false" outlineLevel="0" max="4" min="2" style="0" width="16"/>
    <col collapsed="false" customWidth="true" hidden="false" outlineLevel="0" max="6" min="5" style="0" width="18"/>
    <col collapsed="false" customWidth="true" hidden="false" outlineLevel="0" max="7" min="7" style="0" width="28"/>
  </cols>
  <sheetData>
    <row r="1" customFormat="false" ht="17.35" hidden="false" customHeight="false" outlineLevel="0" collapsed="false">
      <c r="A1" s="10" t="s">
        <v>832</v>
      </c>
    </row>
    <row r="2" customFormat="false" ht="15" hidden="false" customHeight="false" outlineLevel="0" collapsed="false">
      <c r="A2" s="11" t="s">
        <v>833</v>
      </c>
    </row>
    <row r="3" customFormat="false" ht="15" hidden="false" customHeight="false" outlineLevel="0" collapsed="false">
      <c r="A3" s="9" t="s">
        <v>134</v>
      </c>
    </row>
    <row r="5" customFormat="false" ht="30" hidden="false" customHeight="true" outlineLevel="0" collapsed="false">
      <c r="A5" s="6" t="s">
        <v>834</v>
      </c>
      <c r="B5" s="6" t="s">
        <v>835</v>
      </c>
      <c r="C5" s="6" t="s">
        <v>836</v>
      </c>
      <c r="D5" s="6" t="s">
        <v>837</v>
      </c>
      <c r="E5" s="6" t="s">
        <v>838</v>
      </c>
      <c r="F5" s="6" t="s">
        <v>839</v>
      </c>
      <c r="G5" s="6" t="s">
        <v>840</v>
      </c>
    </row>
    <row r="6" customFormat="false" ht="15" hidden="false" customHeight="false" outlineLevel="0" collapsed="false">
      <c r="A6" s="12" t="s">
        <v>841</v>
      </c>
      <c r="B6" s="34"/>
      <c r="C6" s="34"/>
      <c r="D6" s="34"/>
      <c r="E6" s="32" t="str">
        <f aca="false">IF(B6="","",B6-D6)</f>
        <v/>
      </c>
      <c r="F6" s="13"/>
      <c r="G6" s="13"/>
    </row>
    <row r="7" customFormat="false" ht="15" hidden="false" customHeight="false" outlineLevel="0" collapsed="false">
      <c r="A7" s="12" t="s">
        <v>842</v>
      </c>
      <c r="B7" s="34"/>
      <c r="C7" s="34"/>
      <c r="D7" s="34"/>
      <c r="E7" s="32" t="str">
        <f aca="false">IF(B7="","",B7-D7)</f>
        <v/>
      </c>
      <c r="F7" s="13"/>
      <c r="G7" s="13"/>
    </row>
    <row r="8" customFormat="false" ht="15" hidden="false" customHeight="false" outlineLevel="0" collapsed="false">
      <c r="A8" s="12" t="s">
        <v>843</v>
      </c>
      <c r="B8" s="34"/>
      <c r="C8" s="34"/>
      <c r="D8" s="34"/>
      <c r="E8" s="32" t="str">
        <f aca="false">IF(B8="","",B8-D8)</f>
        <v/>
      </c>
      <c r="F8" s="13"/>
      <c r="G8" s="13"/>
    </row>
    <row r="9" customFormat="false" ht="15" hidden="false" customHeight="false" outlineLevel="0" collapsed="false">
      <c r="A9" s="12" t="s">
        <v>844</v>
      </c>
      <c r="B9" s="34"/>
      <c r="C9" s="34"/>
      <c r="D9" s="34"/>
      <c r="E9" s="32" t="str">
        <f aca="false">IF(B9="","",B9-D9)</f>
        <v/>
      </c>
      <c r="F9" s="13"/>
      <c r="G9" s="13"/>
    </row>
    <row r="10" customFormat="false" ht="15" hidden="false" customHeight="false" outlineLevel="0" collapsed="false">
      <c r="A10" s="12" t="s">
        <v>845</v>
      </c>
      <c r="B10" s="34"/>
      <c r="C10" s="34"/>
      <c r="D10" s="34"/>
      <c r="E10" s="32" t="str">
        <f aca="false">IF(B10="","",B10-D10)</f>
        <v/>
      </c>
      <c r="F10" s="13"/>
      <c r="G10" s="13"/>
    </row>
    <row r="11" customFormat="false" ht="15" hidden="false" customHeight="false" outlineLevel="0" collapsed="false">
      <c r="A11" s="12" t="s">
        <v>846</v>
      </c>
      <c r="B11" s="34"/>
      <c r="C11" s="34"/>
      <c r="D11" s="34"/>
      <c r="E11" s="32" t="str">
        <f aca="false">IF(B11="","",B11-D11)</f>
        <v/>
      </c>
      <c r="F11" s="13"/>
      <c r="G11" s="13"/>
    </row>
    <row r="12" customFormat="false" ht="15" hidden="false" customHeight="false" outlineLevel="0" collapsed="false">
      <c r="A12" s="12" t="s">
        <v>847</v>
      </c>
      <c r="B12" s="34"/>
      <c r="C12" s="34"/>
      <c r="D12" s="34"/>
      <c r="E12" s="32" t="str">
        <f aca="false">IF(B12="","",B12-D12)</f>
        <v/>
      </c>
      <c r="F12" s="13"/>
      <c r="G12" s="13"/>
    </row>
    <row r="13" customFormat="false" ht="15" hidden="false" customHeight="false" outlineLevel="0" collapsed="false">
      <c r="A13" s="12" t="s">
        <v>848</v>
      </c>
      <c r="B13" s="34"/>
      <c r="C13" s="34"/>
      <c r="D13" s="34"/>
      <c r="E13" s="32" t="str">
        <f aca="false">IF(B13="","",B13-D13)</f>
        <v/>
      </c>
      <c r="F13" s="13"/>
      <c r="G13" s="13"/>
    </row>
    <row r="14" customFormat="false" ht="15" hidden="false" customHeight="false" outlineLevel="0" collapsed="false">
      <c r="A14" s="12" t="s">
        <v>849</v>
      </c>
      <c r="B14" s="34"/>
      <c r="C14" s="34"/>
      <c r="D14" s="34"/>
      <c r="E14" s="32" t="str">
        <f aca="false">IF(B14="","",B14-D14)</f>
        <v/>
      </c>
      <c r="F14" s="13"/>
      <c r="G14" s="13"/>
    </row>
    <row r="15" customFormat="false" ht="15" hidden="false" customHeight="false" outlineLevel="0" collapsed="false">
      <c r="A15" s="12" t="s">
        <v>850</v>
      </c>
      <c r="B15" s="34"/>
      <c r="C15" s="34"/>
      <c r="D15" s="34"/>
      <c r="E15" s="32" t="str">
        <f aca="false">IF(B15="","",B15-D15)</f>
        <v/>
      </c>
      <c r="F15" s="13"/>
      <c r="G15" s="13"/>
    </row>
    <row r="16" customFormat="false" ht="15" hidden="false" customHeight="false" outlineLevel="0" collapsed="false">
      <c r="A16" s="12" t="s">
        <v>851</v>
      </c>
      <c r="B16" s="34"/>
      <c r="C16" s="34"/>
      <c r="D16" s="34"/>
      <c r="E16" s="32" t="str">
        <f aca="false">IF(B16="","",B16-D16)</f>
        <v/>
      </c>
      <c r="F16" s="13"/>
      <c r="G16" s="13"/>
    </row>
    <row r="17" customFormat="false" ht="15" hidden="false" customHeight="false" outlineLevel="0" collapsed="false">
      <c r="A17" s="12" t="s">
        <v>852</v>
      </c>
      <c r="B17" s="34"/>
      <c r="C17" s="34"/>
      <c r="D17" s="34"/>
      <c r="E17" s="32" t="str">
        <f aca="false">IF(B17="","",B17-D17)</f>
        <v/>
      </c>
      <c r="F17" s="13"/>
      <c r="G17" s="13"/>
    </row>
    <row r="18" customFormat="false" ht="15" hidden="false" customHeight="false" outlineLevel="0" collapsed="false">
      <c r="A18" s="12" t="s">
        <v>425</v>
      </c>
      <c r="B18" s="34"/>
      <c r="C18" s="34"/>
      <c r="D18" s="34"/>
      <c r="E18" s="32" t="str">
        <f aca="false">IF(B18="","",B18-D18)</f>
        <v/>
      </c>
      <c r="F18" s="13"/>
      <c r="G18" s="13"/>
    </row>
    <row r="19" customFormat="false" ht="15" hidden="false" customHeight="false" outlineLevel="0" collapsed="false">
      <c r="A19" s="12" t="s">
        <v>389</v>
      </c>
      <c r="B19" s="33" t="n">
        <f aca="false">SUM(B6:B18)</f>
        <v>0</v>
      </c>
      <c r="C19" s="33" t="n">
        <f aca="false">SUM(C6:C18)</f>
        <v>0</v>
      </c>
      <c r="D19" s="33" t="n">
        <f aca="false">SUM(D6:D18)</f>
        <v>0</v>
      </c>
      <c r="E19" s="33" t="n">
        <f aca="false">SUM(E6:E18)</f>
        <v>0</v>
      </c>
    </row>
    <row r="20" customFormat="false" ht="15" hidden="false" customHeight="false" outlineLevel="0" collapsed="false">
      <c r="A20" s="12" t="s">
        <v>853</v>
      </c>
      <c r="D20" s="20" t="str">
        <f aca="false">IF(B19=0,"",D19/B19)</f>
        <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J5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5" topLeftCell="C6" activePane="bottomRight" state="frozen"/>
      <selection pane="topLeft" activeCell="A1" activeCellId="0" sqref="A1"/>
      <selection pane="topRight" activeCell="C1" activeCellId="0" sqref="C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7"/>
    <col collapsed="false" customWidth="true" hidden="false" outlineLevel="0" max="2" min="2" style="0" width="44"/>
    <col collapsed="false" customWidth="true" hidden="false" outlineLevel="0" max="3" min="3" style="0" width="16"/>
    <col collapsed="false" customWidth="true" hidden="false" outlineLevel="0" max="5" min="4" style="0" width="12"/>
    <col collapsed="false" customWidth="true" hidden="false" outlineLevel="0" max="6" min="6" style="0" width="7"/>
    <col collapsed="false" customWidth="true" hidden="false" outlineLevel="0" max="7" min="7" style="0" width="13"/>
    <col collapsed="false" customWidth="true" hidden="false" outlineLevel="0" max="8" min="8" style="0" width="14"/>
    <col collapsed="false" customWidth="true" hidden="false" outlineLevel="0" max="9" min="9" style="0" width="16"/>
    <col collapsed="false" customWidth="true" hidden="false" outlineLevel="0" max="10" min="10" style="0" width="24"/>
  </cols>
  <sheetData>
    <row r="1" customFormat="false" ht="17.35" hidden="false" customHeight="false" outlineLevel="0" collapsed="false">
      <c r="A1" s="10" t="s">
        <v>854</v>
      </c>
    </row>
    <row r="2" customFormat="false" ht="15" hidden="false" customHeight="false" outlineLevel="0" collapsed="false">
      <c r="A2" s="11" t="s">
        <v>855</v>
      </c>
    </row>
    <row r="3" customFormat="false" ht="15" hidden="false" customHeight="false" outlineLevel="0" collapsed="false">
      <c r="A3" s="9" t="s">
        <v>134</v>
      </c>
    </row>
    <row r="5" customFormat="false" ht="30" hidden="false" customHeight="true" outlineLevel="0" collapsed="false">
      <c r="A5" s="6" t="s">
        <v>856</v>
      </c>
      <c r="B5" s="6" t="s">
        <v>857</v>
      </c>
      <c r="C5" s="6" t="s">
        <v>140</v>
      </c>
      <c r="D5" s="6" t="s">
        <v>858</v>
      </c>
      <c r="E5" s="6" t="s">
        <v>859</v>
      </c>
      <c r="F5" s="6" t="s">
        <v>860</v>
      </c>
      <c r="G5" s="6" t="s">
        <v>861</v>
      </c>
      <c r="H5" s="6" t="s">
        <v>862</v>
      </c>
      <c r="I5" s="6" t="s">
        <v>863</v>
      </c>
      <c r="J5" s="6" t="s">
        <v>840</v>
      </c>
    </row>
    <row r="6" customFormat="false" ht="22.35" hidden="false" customHeight="false" outlineLevel="0" collapsed="false">
      <c r="A6" s="12" t="s">
        <v>864</v>
      </c>
      <c r="B6" s="8" t="s">
        <v>865</v>
      </c>
      <c r="C6" s="13"/>
      <c r="D6" s="14"/>
      <c r="E6" s="14"/>
      <c r="F6" s="8" t="str">
        <f aca="false">IF(AND(ISNUMBER(D6),ISNUMBER(E6)),E6-D6,"")</f>
        <v/>
      </c>
      <c r="G6" s="13" t="s">
        <v>866</v>
      </c>
      <c r="H6" s="13"/>
      <c r="I6" s="8"/>
      <c r="J6" s="13"/>
    </row>
    <row r="7" customFormat="false" ht="15" hidden="false" customHeight="false" outlineLevel="0" collapsed="false">
      <c r="A7" s="12" t="s">
        <v>864</v>
      </c>
      <c r="B7" s="8" t="s">
        <v>867</v>
      </c>
      <c r="C7" s="13"/>
      <c r="D7" s="14"/>
      <c r="E7" s="14"/>
      <c r="F7" s="8" t="str">
        <f aca="false">IF(AND(ISNUMBER(D7),ISNUMBER(E7)),E7-D7,"")</f>
        <v/>
      </c>
      <c r="G7" s="13" t="s">
        <v>866</v>
      </c>
      <c r="H7" s="13"/>
      <c r="I7" s="8" t="s">
        <v>868</v>
      </c>
      <c r="J7" s="13"/>
    </row>
    <row r="8" customFormat="false" ht="15" hidden="false" customHeight="false" outlineLevel="0" collapsed="false">
      <c r="A8" s="12" t="s">
        <v>864</v>
      </c>
      <c r="B8" s="8" t="s">
        <v>869</v>
      </c>
      <c r="C8" s="13"/>
      <c r="D8" s="14"/>
      <c r="E8" s="14"/>
      <c r="F8" s="8" t="str">
        <f aca="false">IF(AND(ISNUMBER(D8),ISNUMBER(E8)),E8-D8,"")</f>
        <v/>
      </c>
      <c r="G8" s="13" t="s">
        <v>866</v>
      </c>
      <c r="H8" s="13"/>
      <c r="I8" s="8" t="s">
        <v>870</v>
      </c>
      <c r="J8" s="13"/>
    </row>
    <row r="9" customFormat="false" ht="15" hidden="false" customHeight="false" outlineLevel="0" collapsed="false">
      <c r="A9" s="12" t="s">
        <v>864</v>
      </c>
      <c r="B9" s="8" t="s">
        <v>871</v>
      </c>
      <c r="C9" s="13"/>
      <c r="D9" s="14"/>
      <c r="E9" s="14"/>
      <c r="F9" s="8" t="str">
        <f aca="false">IF(AND(ISNUMBER(D9),ISNUMBER(E9)),E9-D9,"")</f>
        <v/>
      </c>
      <c r="G9" s="13" t="s">
        <v>866</v>
      </c>
      <c r="H9" s="13"/>
      <c r="I9" s="8" t="s">
        <v>872</v>
      </c>
      <c r="J9" s="13"/>
    </row>
    <row r="10" customFormat="false" ht="15" hidden="false" customHeight="false" outlineLevel="0" collapsed="false">
      <c r="A10" s="12" t="s">
        <v>864</v>
      </c>
      <c r="B10" s="8" t="s">
        <v>873</v>
      </c>
      <c r="C10" s="13"/>
      <c r="D10" s="14"/>
      <c r="E10" s="14"/>
      <c r="F10" s="8" t="str">
        <f aca="false">IF(AND(ISNUMBER(D10),ISNUMBER(E10)),E10-D10,"")</f>
        <v/>
      </c>
      <c r="G10" s="13" t="s">
        <v>866</v>
      </c>
      <c r="H10" s="13"/>
      <c r="I10" s="8" t="s">
        <v>874</v>
      </c>
      <c r="J10" s="13"/>
    </row>
    <row r="11" customFormat="false" ht="15" hidden="false" customHeight="false" outlineLevel="0" collapsed="false">
      <c r="A11" s="12" t="s">
        <v>864</v>
      </c>
      <c r="B11" s="8" t="s">
        <v>875</v>
      </c>
      <c r="C11" s="13"/>
      <c r="D11" s="14"/>
      <c r="E11" s="14"/>
      <c r="F11" s="8" t="str">
        <f aca="false">IF(AND(ISNUMBER(D11),ISNUMBER(E11)),E11-D11,"")</f>
        <v/>
      </c>
      <c r="G11" s="13" t="s">
        <v>866</v>
      </c>
      <c r="H11" s="13"/>
      <c r="I11" s="8" t="s">
        <v>876</v>
      </c>
      <c r="J11" s="13"/>
    </row>
    <row r="12" customFormat="false" ht="15" hidden="false" customHeight="false" outlineLevel="0" collapsed="false">
      <c r="A12" s="12" t="s">
        <v>864</v>
      </c>
      <c r="B12" s="8" t="s">
        <v>877</v>
      </c>
      <c r="C12" s="13"/>
      <c r="D12" s="14"/>
      <c r="E12" s="14"/>
      <c r="F12" s="8" t="str">
        <f aca="false">IF(AND(ISNUMBER(D12),ISNUMBER(E12)),E12-D12,"")</f>
        <v/>
      </c>
      <c r="G12" s="13" t="s">
        <v>866</v>
      </c>
      <c r="H12" s="13"/>
      <c r="I12" s="8" t="s">
        <v>720</v>
      </c>
      <c r="J12" s="13"/>
    </row>
    <row r="13" customFormat="false" ht="15" hidden="false" customHeight="false" outlineLevel="0" collapsed="false">
      <c r="A13" s="12" t="s">
        <v>864</v>
      </c>
      <c r="B13" s="8" t="s">
        <v>878</v>
      </c>
      <c r="C13" s="13"/>
      <c r="D13" s="14"/>
      <c r="E13" s="14"/>
      <c r="F13" s="8" t="str">
        <f aca="false">IF(AND(ISNUMBER(D13),ISNUMBER(E13)),E13-D13,"")</f>
        <v/>
      </c>
      <c r="G13" s="13" t="s">
        <v>866</v>
      </c>
      <c r="H13" s="13"/>
      <c r="I13" s="8" t="s">
        <v>879</v>
      </c>
      <c r="J13" s="13"/>
    </row>
    <row r="14" customFormat="false" ht="15" hidden="false" customHeight="false" outlineLevel="0" collapsed="false">
      <c r="A14" s="12" t="s">
        <v>880</v>
      </c>
      <c r="B14" s="8" t="s">
        <v>881</v>
      </c>
      <c r="C14" s="13"/>
      <c r="D14" s="14"/>
      <c r="E14" s="14"/>
      <c r="F14" s="8" t="str">
        <f aca="false">IF(AND(ISNUMBER(D14),ISNUMBER(E14)),E14-D14,"")</f>
        <v/>
      </c>
      <c r="G14" s="13" t="s">
        <v>866</v>
      </c>
      <c r="H14" s="13"/>
      <c r="I14" s="8" t="s">
        <v>882</v>
      </c>
      <c r="J14" s="13"/>
    </row>
    <row r="15" customFormat="false" ht="15" hidden="false" customHeight="false" outlineLevel="0" collapsed="false">
      <c r="A15" s="12" t="s">
        <v>880</v>
      </c>
      <c r="B15" s="8" t="s">
        <v>883</v>
      </c>
      <c r="C15" s="13"/>
      <c r="D15" s="14"/>
      <c r="E15" s="14"/>
      <c r="F15" s="8" t="str">
        <f aca="false">IF(AND(ISNUMBER(D15),ISNUMBER(E15)),E15-D15,"")</f>
        <v/>
      </c>
      <c r="G15" s="13" t="s">
        <v>866</v>
      </c>
      <c r="H15" s="13"/>
      <c r="I15" s="8" t="s">
        <v>884</v>
      </c>
      <c r="J15" s="13"/>
    </row>
    <row r="16" customFormat="false" ht="15" hidden="false" customHeight="false" outlineLevel="0" collapsed="false">
      <c r="A16" s="12" t="s">
        <v>880</v>
      </c>
      <c r="B16" s="8" t="s">
        <v>885</v>
      </c>
      <c r="C16" s="13"/>
      <c r="D16" s="14"/>
      <c r="E16" s="14"/>
      <c r="F16" s="8" t="str">
        <f aca="false">IF(AND(ISNUMBER(D16),ISNUMBER(E16)),E16-D16,"")</f>
        <v/>
      </c>
      <c r="G16" s="13" t="s">
        <v>866</v>
      </c>
      <c r="H16" s="13"/>
      <c r="I16" s="8" t="s">
        <v>886</v>
      </c>
      <c r="J16" s="13"/>
    </row>
    <row r="17" customFormat="false" ht="15" hidden="false" customHeight="false" outlineLevel="0" collapsed="false">
      <c r="A17" s="12" t="s">
        <v>880</v>
      </c>
      <c r="B17" s="8" t="s">
        <v>887</v>
      </c>
      <c r="C17" s="13"/>
      <c r="D17" s="14"/>
      <c r="E17" s="14"/>
      <c r="F17" s="8" t="str">
        <f aca="false">IF(AND(ISNUMBER(D17),ISNUMBER(E17)),E17-D17,"")</f>
        <v/>
      </c>
      <c r="G17" s="13" t="s">
        <v>866</v>
      </c>
      <c r="H17" s="13"/>
      <c r="I17" s="8" t="s">
        <v>888</v>
      </c>
      <c r="J17" s="13"/>
    </row>
    <row r="18" customFormat="false" ht="15" hidden="false" customHeight="false" outlineLevel="0" collapsed="false">
      <c r="A18" s="12" t="s">
        <v>880</v>
      </c>
      <c r="B18" s="8" t="s">
        <v>889</v>
      </c>
      <c r="C18" s="13"/>
      <c r="D18" s="14"/>
      <c r="E18" s="14"/>
      <c r="F18" s="8" t="str">
        <f aca="false">IF(AND(ISNUMBER(D18),ISNUMBER(E18)),E18-D18,"")</f>
        <v/>
      </c>
      <c r="G18" s="13" t="s">
        <v>866</v>
      </c>
      <c r="H18" s="13"/>
      <c r="I18" s="8" t="s">
        <v>890</v>
      </c>
      <c r="J18" s="13"/>
    </row>
    <row r="19" customFormat="false" ht="15" hidden="false" customHeight="false" outlineLevel="0" collapsed="false">
      <c r="A19" s="12" t="s">
        <v>880</v>
      </c>
      <c r="B19" s="8" t="s">
        <v>891</v>
      </c>
      <c r="C19" s="13"/>
      <c r="D19" s="14"/>
      <c r="E19" s="14"/>
      <c r="F19" s="8" t="str">
        <f aca="false">IF(AND(ISNUMBER(D19),ISNUMBER(E19)),E19-D19,"")</f>
        <v/>
      </c>
      <c r="G19" s="13" t="s">
        <v>866</v>
      </c>
      <c r="H19" s="13"/>
      <c r="I19" s="8" t="s">
        <v>892</v>
      </c>
      <c r="J19" s="13"/>
    </row>
    <row r="20" customFormat="false" ht="15" hidden="false" customHeight="false" outlineLevel="0" collapsed="false">
      <c r="A20" s="12" t="s">
        <v>880</v>
      </c>
      <c r="B20" s="8" t="s">
        <v>893</v>
      </c>
      <c r="C20" s="13"/>
      <c r="D20" s="14"/>
      <c r="E20" s="14"/>
      <c r="F20" s="8" t="str">
        <f aca="false">IF(AND(ISNUMBER(D20),ISNUMBER(E20)),E20-D20,"")</f>
        <v/>
      </c>
      <c r="G20" s="13" t="s">
        <v>866</v>
      </c>
      <c r="H20" s="13"/>
      <c r="I20" s="8" t="s">
        <v>894</v>
      </c>
      <c r="J20" s="13"/>
    </row>
    <row r="21" customFormat="false" ht="22.35" hidden="false" customHeight="false" outlineLevel="0" collapsed="false">
      <c r="A21" s="12" t="s">
        <v>880</v>
      </c>
      <c r="B21" s="8" t="s">
        <v>895</v>
      </c>
      <c r="C21" s="13"/>
      <c r="D21" s="14"/>
      <c r="E21" s="14"/>
      <c r="F21" s="8" t="str">
        <f aca="false">IF(AND(ISNUMBER(D21),ISNUMBER(E21)),E21-D21,"")</f>
        <v/>
      </c>
      <c r="G21" s="13" t="s">
        <v>866</v>
      </c>
      <c r="H21" s="13"/>
      <c r="I21" s="8" t="s">
        <v>896</v>
      </c>
      <c r="J21" s="13"/>
    </row>
    <row r="22" customFormat="false" ht="15" hidden="false" customHeight="false" outlineLevel="0" collapsed="false">
      <c r="A22" s="12" t="s">
        <v>880</v>
      </c>
      <c r="B22" s="8" t="s">
        <v>897</v>
      </c>
      <c r="C22" s="13"/>
      <c r="D22" s="14"/>
      <c r="E22" s="14"/>
      <c r="F22" s="8" t="str">
        <f aca="false">IF(AND(ISNUMBER(D22),ISNUMBER(E22)),E22-D22,"")</f>
        <v/>
      </c>
      <c r="G22" s="13" t="s">
        <v>866</v>
      </c>
      <c r="H22" s="13"/>
      <c r="I22" s="8" t="s">
        <v>898</v>
      </c>
      <c r="J22" s="13"/>
    </row>
    <row r="23" customFormat="false" ht="15" hidden="false" customHeight="false" outlineLevel="0" collapsed="false">
      <c r="A23" s="12" t="s">
        <v>880</v>
      </c>
      <c r="B23" s="8" t="s">
        <v>899</v>
      </c>
      <c r="C23" s="13"/>
      <c r="D23" s="14"/>
      <c r="E23" s="14"/>
      <c r="F23" s="8" t="str">
        <f aca="false">IF(AND(ISNUMBER(D23),ISNUMBER(E23)),E23-D23,"")</f>
        <v/>
      </c>
      <c r="G23" s="13" t="s">
        <v>866</v>
      </c>
      <c r="H23" s="13"/>
      <c r="I23" s="8" t="s">
        <v>900</v>
      </c>
      <c r="J23" s="13"/>
    </row>
    <row r="24" customFormat="false" ht="22.35" hidden="false" customHeight="false" outlineLevel="0" collapsed="false">
      <c r="A24" s="12" t="s">
        <v>880</v>
      </c>
      <c r="B24" s="8" t="s">
        <v>901</v>
      </c>
      <c r="C24" s="13"/>
      <c r="D24" s="14"/>
      <c r="E24" s="14"/>
      <c r="F24" s="8" t="str">
        <f aca="false">IF(AND(ISNUMBER(D24),ISNUMBER(E24)),E24-D24,"")</f>
        <v/>
      </c>
      <c r="G24" s="13" t="s">
        <v>866</v>
      </c>
      <c r="H24" s="13"/>
      <c r="I24" s="8"/>
      <c r="J24" s="13"/>
    </row>
    <row r="25" customFormat="false" ht="15" hidden="false" customHeight="false" outlineLevel="0" collapsed="false">
      <c r="A25" s="12" t="s">
        <v>880</v>
      </c>
      <c r="B25" s="8" t="s">
        <v>902</v>
      </c>
      <c r="C25" s="13"/>
      <c r="D25" s="14"/>
      <c r="E25" s="14"/>
      <c r="F25" s="8" t="str">
        <f aca="false">IF(AND(ISNUMBER(D25),ISNUMBER(E25)),E25-D25,"")</f>
        <v/>
      </c>
      <c r="G25" s="13" t="s">
        <v>866</v>
      </c>
      <c r="H25" s="13"/>
      <c r="I25" s="8" t="s">
        <v>903</v>
      </c>
      <c r="J25" s="13"/>
    </row>
    <row r="26" customFormat="false" ht="15" hidden="false" customHeight="false" outlineLevel="0" collapsed="false">
      <c r="A26" s="12" t="s">
        <v>880</v>
      </c>
      <c r="B26" s="8" t="s">
        <v>904</v>
      </c>
      <c r="C26" s="13"/>
      <c r="D26" s="14"/>
      <c r="E26" s="14"/>
      <c r="F26" s="8" t="str">
        <f aca="false">IF(AND(ISNUMBER(D26),ISNUMBER(E26)),E26-D26,"")</f>
        <v/>
      </c>
      <c r="G26" s="13" t="s">
        <v>866</v>
      </c>
      <c r="H26" s="13"/>
      <c r="I26" s="8" t="s">
        <v>905</v>
      </c>
      <c r="J26" s="13"/>
    </row>
    <row r="27" customFormat="false" ht="15" hidden="false" customHeight="false" outlineLevel="0" collapsed="false">
      <c r="A27" s="12" t="s">
        <v>906</v>
      </c>
      <c r="B27" s="8" t="s">
        <v>907</v>
      </c>
      <c r="C27" s="13"/>
      <c r="D27" s="14"/>
      <c r="E27" s="14"/>
      <c r="F27" s="8" t="str">
        <f aca="false">IF(AND(ISNUMBER(D27),ISNUMBER(E27)),E27-D27,"")</f>
        <v/>
      </c>
      <c r="G27" s="13" t="s">
        <v>866</v>
      </c>
      <c r="H27" s="13"/>
      <c r="I27" s="8"/>
      <c r="J27" s="13"/>
    </row>
    <row r="28" customFormat="false" ht="15" hidden="false" customHeight="false" outlineLevel="0" collapsed="false">
      <c r="A28" s="12" t="s">
        <v>906</v>
      </c>
      <c r="B28" s="8" t="s">
        <v>908</v>
      </c>
      <c r="C28" s="13"/>
      <c r="D28" s="14"/>
      <c r="E28" s="14"/>
      <c r="F28" s="8" t="str">
        <f aca="false">IF(AND(ISNUMBER(D28),ISNUMBER(E28)),E28-D28,"")</f>
        <v/>
      </c>
      <c r="G28" s="13" t="s">
        <v>866</v>
      </c>
      <c r="H28" s="13"/>
      <c r="I28" s="8" t="s">
        <v>909</v>
      </c>
      <c r="J28" s="13"/>
    </row>
    <row r="29" customFormat="false" ht="15" hidden="false" customHeight="false" outlineLevel="0" collapsed="false">
      <c r="A29" s="12" t="s">
        <v>906</v>
      </c>
      <c r="B29" s="8" t="s">
        <v>910</v>
      </c>
      <c r="C29" s="13"/>
      <c r="D29" s="14"/>
      <c r="E29" s="14"/>
      <c r="F29" s="8" t="str">
        <f aca="false">IF(AND(ISNUMBER(D29),ISNUMBER(E29)),E29-D29,"")</f>
        <v/>
      </c>
      <c r="G29" s="13" t="s">
        <v>866</v>
      </c>
      <c r="H29" s="13"/>
      <c r="I29" s="8"/>
      <c r="J29" s="13"/>
    </row>
    <row r="30" customFormat="false" ht="15" hidden="false" customHeight="false" outlineLevel="0" collapsed="false">
      <c r="A30" s="12" t="s">
        <v>906</v>
      </c>
      <c r="B30" s="8" t="s">
        <v>911</v>
      </c>
      <c r="C30" s="13"/>
      <c r="D30" s="14"/>
      <c r="E30" s="14"/>
      <c r="F30" s="8" t="str">
        <f aca="false">IF(AND(ISNUMBER(D30),ISNUMBER(E30)),E30-D30,"")</f>
        <v/>
      </c>
      <c r="G30" s="13" t="s">
        <v>866</v>
      </c>
      <c r="H30" s="13"/>
      <c r="I30" s="8" t="s">
        <v>912</v>
      </c>
      <c r="J30" s="13"/>
    </row>
    <row r="31" customFormat="false" ht="15" hidden="false" customHeight="false" outlineLevel="0" collapsed="false">
      <c r="A31" s="12" t="s">
        <v>906</v>
      </c>
      <c r="B31" s="8" t="s">
        <v>913</v>
      </c>
      <c r="C31" s="13"/>
      <c r="D31" s="14"/>
      <c r="E31" s="14"/>
      <c r="F31" s="8" t="str">
        <f aca="false">IF(AND(ISNUMBER(D31),ISNUMBER(E31)),E31-D31,"")</f>
        <v/>
      </c>
      <c r="G31" s="13" t="s">
        <v>866</v>
      </c>
      <c r="H31" s="13"/>
      <c r="I31" s="8" t="s">
        <v>909</v>
      </c>
      <c r="J31" s="13"/>
    </row>
    <row r="32" customFormat="false" ht="15" hidden="false" customHeight="false" outlineLevel="0" collapsed="false">
      <c r="A32" s="12" t="s">
        <v>906</v>
      </c>
      <c r="B32" s="8" t="s">
        <v>914</v>
      </c>
      <c r="C32" s="13"/>
      <c r="D32" s="14"/>
      <c r="E32" s="14"/>
      <c r="F32" s="8" t="str">
        <f aca="false">IF(AND(ISNUMBER(D32),ISNUMBER(E32)),E32-D32,"")</f>
        <v/>
      </c>
      <c r="G32" s="13" t="s">
        <v>866</v>
      </c>
      <c r="H32" s="13"/>
      <c r="I32" s="8" t="s">
        <v>915</v>
      </c>
      <c r="J32" s="13"/>
    </row>
    <row r="33" customFormat="false" ht="15" hidden="false" customHeight="false" outlineLevel="0" collapsed="false">
      <c r="A33" s="12" t="s">
        <v>906</v>
      </c>
      <c r="B33" s="8" t="s">
        <v>916</v>
      </c>
      <c r="C33" s="13"/>
      <c r="D33" s="14"/>
      <c r="E33" s="14"/>
      <c r="F33" s="8" t="str">
        <f aca="false">IF(AND(ISNUMBER(D33),ISNUMBER(E33)),E33-D33,"")</f>
        <v/>
      </c>
      <c r="G33" s="13" t="s">
        <v>866</v>
      </c>
      <c r="H33" s="13"/>
      <c r="I33" s="8" t="s">
        <v>917</v>
      </c>
      <c r="J33" s="13"/>
    </row>
    <row r="34" customFormat="false" ht="15" hidden="false" customHeight="false" outlineLevel="0" collapsed="false">
      <c r="A34" s="12" t="s">
        <v>906</v>
      </c>
      <c r="B34" s="8" t="s">
        <v>918</v>
      </c>
      <c r="C34" s="13"/>
      <c r="D34" s="14"/>
      <c r="E34" s="14"/>
      <c r="F34" s="8" t="str">
        <f aca="false">IF(AND(ISNUMBER(D34),ISNUMBER(E34)),E34-D34,"")</f>
        <v/>
      </c>
      <c r="G34" s="13" t="s">
        <v>866</v>
      </c>
      <c r="H34" s="13"/>
      <c r="I34" s="8" t="s">
        <v>737</v>
      </c>
      <c r="J34" s="13"/>
    </row>
    <row r="35" customFormat="false" ht="15" hidden="false" customHeight="false" outlineLevel="0" collapsed="false">
      <c r="A35" s="12" t="s">
        <v>919</v>
      </c>
      <c r="B35" s="8" t="s">
        <v>920</v>
      </c>
      <c r="C35" s="13"/>
      <c r="D35" s="14"/>
      <c r="E35" s="14"/>
      <c r="F35" s="8" t="str">
        <f aca="false">IF(AND(ISNUMBER(D35),ISNUMBER(E35)),E35-D35,"")</f>
        <v/>
      </c>
      <c r="G35" s="13" t="s">
        <v>866</v>
      </c>
      <c r="H35" s="13"/>
      <c r="I35" s="8" t="s">
        <v>921</v>
      </c>
      <c r="J35" s="13"/>
    </row>
    <row r="36" customFormat="false" ht="15" hidden="false" customHeight="false" outlineLevel="0" collapsed="false">
      <c r="A36" s="12" t="s">
        <v>919</v>
      </c>
      <c r="B36" s="8" t="s">
        <v>922</v>
      </c>
      <c r="C36" s="13"/>
      <c r="D36" s="14"/>
      <c r="E36" s="14"/>
      <c r="F36" s="8" t="str">
        <f aca="false">IF(AND(ISNUMBER(D36),ISNUMBER(E36)),E36-D36,"")</f>
        <v/>
      </c>
      <c r="G36" s="13" t="s">
        <v>866</v>
      </c>
      <c r="H36" s="13"/>
      <c r="I36" s="8" t="s">
        <v>923</v>
      </c>
      <c r="J36" s="13"/>
    </row>
    <row r="37" customFormat="false" ht="15" hidden="false" customHeight="false" outlineLevel="0" collapsed="false">
      <c r="A37" s="12" t="s">
        <v>919</v>
      </c>
      <c r="B37" s="8" t="s">
        <v>924</v>
      </c>
      <c r="C37" s="13"/>
      <c r="D37" s="14"/>
      <c r="E37" s="14"/>
      <c r="F37" s="8" t="str">
        <f aca="false">IF(AND(ISNUMBER(D37),ISNUMBER(E37)),E37-D37,"")</f>
        <v/>
      </c>
      <c r="G37" s="13" t="s">
        <v>866</v>
      </c>
      <c r="H37" s="13"/>
      <c r="I37" s="8" t="s">
        <v>925</v>
      </c>
      <c r="J37" s="13"/>
    </row>
    <row r="38" customFormat="false" ht="15" hidden="false" customHeight="false" outlineLevel="0" collapsed="false">
      <c r="A38" s="12" t="s">
        <v>919</v>
      </c>
      <c r="B38" s="8" t="s">
        <v>926</v>
      </c>
      <c r="C38" s="13"/>
      <c r="D38" s="14"/>
      <c r="E38" s="14"/>
      <c r="F38" s="8" t="str">
        <f aca="false">IF(AND(ISNUMBER(D38),ISNUMBER(E38)),E38-D38,"")</f>
        <v/>
      </c>
      <c r="G38" s="13" t="s">
        <v>866</v>
      </c>
      <c r="H38" s="13"/>
      <c r="I38" s="8" t="s">
        <v>927</v>
      </c>
      <c r="J38" s="13"/>
    </row>
    <row r="39" customFormat="false" ht="22.35" hidden="false" customHeight="false" outlineLevel="0" collapsed="false">
      <c r="A39" s="12" t="s">
        <v>919</v>
      </c>
      <c r="B39" s="8" t="s">
        <v>928</v>
      </c>
      <c r="C39" s="13"/>
      <c r="D39" s="14"/>
      <c r="E39" s="14"/>
      <c r="F39" s="8" t="str">
        <f aca="false">IF(AND(ISNUMBER(D39),ISNUMBER(E39)),E39-D39,"")</f>
        <v/>
      </c>
      <c r="G39" s="13" t="s">
        <v>866</v>
      </c>
      <c r="H39" s="13"/>
      <c r="I39" s="8" t="s">
        <v>929</v>
      </c>
      <c r="J39" s="13"/>
    </row>
    <row r="40" customFormat="false" ht="22.35" hidden="false" customHeight="false" outlineLevel="0" collapsed="false">
      <c r="A40" s="12" t="s">
        <v>919</v>
      </c>
      <c r="B40" s="8" t="s">
        <v>930</v>
      </c>
      <c r="C40" s="13"/>
      <c r="D40" s="14"/>
      <c r="E40" s="14"/>
      <c r="F40" s="8" t="str">
        <f aca="false">IF(AND(ISNUMBER(D40),ISNUMBER(E40)),E40-D40,"")</f>
        <v/>
      </c>
      <c r="G40" s="13" t="s">
        <v>866</v>
      </c>
      <c r="H40" s="13"/>
      <c r="I40" s="8" t="s">
        <v>929</v>
      </c>
      <c r="J40" s="13"/>
    </row>
    <row r="41" customFormat="false" ht="22.35" hidden="false" customHeight="false" outlineLevel="0" collapsed="false">
      <c r="A41" s="12" t="s">
        <v>919</v>
      </c>
      <c r="B41" s="8" t="s">
        <v>931</v>
      </c>
      <c r="C41" s="13"/>
      <c r="D41" s="14"/>
      <c r="E41" s="14"/>
      <c r="F41" s="8" t="str">
        <f aca="false">IF(AND(ISNUMBER(D41),ISNUMBER(E41)),E41-D41,"")</f>
        <v/>
      </c>
      <c r="G41" s="13" t="s">
        <v>866</v>
      </c>
      <c r="H41" s="13"/>
      <c r="I41" s="8" t="s">
        <v>929</v>
      </c>
      <c r="J41" s="13"/>
    </row>
    <row r="42" customFormat="false" ht="15" hidden="false" customHeight="false" outlineLevel="0" collapsed="false">
      <c r="A42" s="12" t="s">
        <v>919</v>
      </c>
      <c r="B42" s="8" t="s">
        <v>932</v>
      </c>
      <c r="C42" s="13"/>
      <c r="D42" s="14"/>
      <c r="E42" s="14"/>
      <c r="F42" s="8" t="str">
        <f aca="false">IF(AND(ISNUMBER(D42),ISNUMBER(E42)),E42-D42,"")</f>
        <v/>
      </c>
      <c r="G42" s="13" t="s">
        <v>866</v>
      </c>
      <c r="H42" s="13"/>
      <c r="I42" s="8" t="s">
        <v>933</v>
      </c>
      <c r="J42" s="13"/>
    </row>
    <row r="43" customFormat="false" ht="15" hidden="false" customHeight="false" outlineLevel="0" collapsed="false">
      <c r="A43" s="12" t="s">
        <v>919</v>
      </c>
      <c r="B43" s="8" t="s">
        <v>902</v>
      </c>
      <c r="C43" s="13"/>
      <c r="D43" s="14"/>
      <c r="E43" s="14"/>
      <c r="F43" s="8" t="str">
        <f aca="false">IF(AND(ISNUMBER(D43),ISNUMBER(E43)),E43-D43,"")</f>
        <v/>
      </c>
      <c r="G43" s="13" t="s">
        <v>866</v>
      </c>
      <c r="H43" s="13"/>
      <c r="I43" s="8" t="s">
        <v>934</v>
      </c>
      <c r="J43" s="13"/>
    </row>
    <row r="44" customFormat="false" ht="15" hidden="false" customHeight="false" outlineLevel="0" collapsed="false">
      <c r="A44" s="12" t="s">
        <v>919</v>
      </c>
      <c r="B44" s="8" t="s">
        <v>935</v>
      </c>
      <c r="C44" s="13"/>
      <c r="D44" s="14"/>
      <c r="E44" s="14"/>
      <c r="F44" s="8" t="str">
        <f aca="false">IF(AND(ISNUMBER(D44),ISNUMBER(E44)),E44-D44,"")</f>
        <v/>
      </c>
      <c r="G44" s="13" t="s">
        <v>866</v>
      </c>
      <c r="H44" s="13"/>
      <c r="I44" s="8" t="s">
        <v>745</v>
      </c>
      <c r="J44" s="13"/>
    </row>
    <row r="45" customFormat="false" ht="15" hidden="false" customHeight="false" outlineLevel="0" collapsed="false">
      <c r="A45" s="13"/>
      <c r="B45" s="13"/>
      <c r="C45" s="13"/>
      <c r="D45" s="14"/>
      <c r="E45" s="14"/>
      <c r="F45" s="13"/>
      <c r="G45" s="13"/>
      <c r="H45" s="13"/>
      <c r="I45" s="13"/>
      <c r="J45" s="13"/>
    </row>
    <row r="46" customFormat="false" ht="15" hidden="false" customHeight="false" outlineLevel="0" collapsed="false">
      <c r="A46" s="13"/>
      <c r="B46" s="13"/>
      <c r="C46" s="13"/>
      <c r="D46" s="14"/>
      <c r="E46" s="14"/>
      <c r="F46" s="13"/>
      <c r="G46" s="13"/>
      <c r="H46" s="13"/>
      <c r="I46" s="13"/>
      <c r="J46" s="13"/>
    </row>
    <row r="47" customFormat="false" ht="15" hidden="false" customHeight="false" outlineLevel="0" collapsed="false">
      <c r="A47" s="13"/>
      <c r="B47" s="13"/>
      <c r="C47" s="13"/>
      <c r="D47" s="14"/>
      <c r="E47" s="14"/>
      <c r="F47" s="13"/>
      <c r="G47" s="13"/>
      <c r="H47" s="13"/>
      <c r="I47" s="13"/>
      <c r="J47" s="13"/>
    </row>
    <row r="48" customFormat="false" ht="15" hidden="false" customHeight="false" outlineLevel="0" collapsed="false">
      <c r="A48" s="13"/>
      <c r="B48" s="13"/>
      <c r="C48" s="13"/>
      <c r="D48" s="14"/>
      <c r="E48" s="14"/>
      <c r="F48" s="13"/>
      <c r="G48" s="13"/>
      <c r="H48" s="13"/>
      <c r="I48" s="13"/>
      <c r="J48" s="13"/>
    </row>
    <row r="49" customFormat="false" ht="15" hidden="false" customHeight="false" outlineLevel="0" collapsed="false">
      <c r="A49" s="13"/>
      <c r="B49" s="13"/>
      <c r="C49" s="13"/>
      <c r="D49" s="14"/>
      <c r="E49" s="14"/>
      <c r="F49" s="13"/>
      <c r="G49" s="13"/>
      <c r="H49" s="13"/>
      <c r="I49" s="13"/>
      <c r="J49" s="13"/>
    </row>
    <row r="50" customFormat="false" ht="15" hidden="false" customHeight="false" outlineLevel="0" collapsed="false">
      <c r="A50" s="13"/>
      <c r="B50" s="13"/>
      <c r="C50" s="13"/>
      <c r="D50" s="14"/>
      <c r="E50" s="14"/>
      <c r="F50" s="13"/>
      <c r="G50" s="13"/>
      <c r="H50" s="13"/>
      <c r="I50" s="13"/>
      <c r="J50" s="13"/>
    </row>
    <row r="51" customFormat="false" ht="15" hidden="false" customHeight="false" outlineLevel="0" collapsed="false">
      <c r="A51" s="13"/>
      <c r="B51" s="13"/>
      <c r="C51" s="13"/>
      <c r="D51" s="14"/>
      <c r="E51" s="14"/>
      <c r="F51" s="13"/>
      <c r="G51" s="13"/>
      <c r="H51" s="13"/>
      <c r="I51" s="13"/>
      <c r="J51" s="13"/>
    </row>
    <row r="52" customFormat="false" ht="15" hidden="false" customHeight="false" outlineLevel="0" collapsed="false">
      <c r="A52" s="13"/>
      <c r="B52" s="13"/>
      <c r="C52" s="13"/>
      <c r="D52" s="14"/>
      <c r="E52" s="14"/>
      <c r="F52" s="13"/>
      <c r="G52" s="13"/>
      <c r="H52" s="13"/>
      <c r="I52" s="13"/>
      <c r="J52" s="13"/>
    </row>
    <row r="53" customFormat="false" ht="15" hidden="false" customHeight="false" outlineLevel="0" collapsed="false">
      <c r="A53" s="13"/>
      <c r="B53" s="13"/>
      <c r="C53" s="13"/>
      <c r="D53" s="14"/>
      <c r="E53" s="14"/>
      <c r="F53" s="13"/>
      <c r="G53" s="13"/>
      <c r="H53" s="13"/>
      <c r="I53" s="13"/>
      <c r="J53" s="13"/>
    </row>
    <row r="54" customFormat="false" ht="15" hidden="false" customHeight="false" outlineLevel="0" collapsed="false">
      <c r="A54" s="13"/>
      <c r="B54" s="13"/>
      <c r="C54" s="13"/>
      <c r="D54" s="14"/>
      <c r="E54" s="14"/>
      <c r="F54" s="13"/>
      <c r="G54" s="13"/>
      <c r="H54" s="13"/>
      <c r="I54" s="13"/>
      <c r="J54" s="13"/>
    </row>
  </sheetData>
  <dataValidations count="1">
    <dataValidation allowBlank="true" errorStyle="stop" operator="between" showDropDown="false" showErrorMessage="false" showInputMessage="false" sqref="G6:G64" type="list">
      <formula1>"Not started,In progress,Submitted,Approved,Complete,On hold"</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P8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4" ySplit="5" topLeftCell="E6" activePane="bottomRight" state="frozen"/>
      <selection pane="topLeft" activeCell="A1" activeCellId="0" sqref="A1"/>
      <selection pane="topRight" activeCell="E1" activeCellId="0" sqref="E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8"/>
    <col collapsed="false" customWidth="true" hidden="false" outlineLevel="0" max="2" min="2" style="0" width="11"/>
    <col collapsed="false" customWidth="true" hidden="false" outlineLevel="0" max="3" min="3" style="0" width="14"/>
    <col collapsed="false" customWidth="true" hidden="false" outlineLevel="0" max="4" min="4" style="0" width="34"/>
    <col collapsed="false" customWidth="true" hidden="false" outlineLevel="0" max="5" min="5" style="0" width="44"/>
    <col collapsed="false" customWidth="true" hidden="false" outlineLevel="0" max="6" min="6" style="0" width="36"/>
    <col collapsed="false" customWidth="true" hidden="false" outlineLevel="0" max="7" min="7" style="0" width="13"/>
    <col collapsed="false" customWidth="true" hidden="false" outlineLevel="0" max="8" min="8" style="0" width="11"/>
    <col collapsed="false" customWidth="true" hidden="false" outlineLevel="0" max="9" min="9" style="0" width="14"/>
    <col collapsed="false" customWidth="true" hidden="false" outlineLevel="0" max="10" min="10" style="0" width="10"/>
    <col collapsed="false" customWidth="true" hidden="false" outlineLevel="0" max="11" min="11" style="0" width="3"/>
    <col collapsed="false" customWidth="true" hidden="false" outlineLevel="0" max="12" min="12" style="0" width="12"/>
    <col collapsed="false" customWidth="true" hidden="false" outlineLevel="0" max="15" min="13" style="0" width="7"/>
    <col collapsed="false" customWidth="true" hidden="false" outlineLevel="0" max="16" min="16" style="0" width="8"/>
  </cols>
  <sheetData>
    <row r="1" customFormat="false" ht="17.35" hidden="false" customHeight="false" outlineLevel="0" collapsed="false">
      <c r="A1" s="10" t="s">
        <v>936</v>
      </c>
    </row>
    <row r="2" customFormat="false" ht="15" hidden="false" customHeight="false" outlineLevel="0" collapsed="false">
      <c r="A2" s="11" t="s">
        <v>937</v>
      </c>
    </row>
    <row r="3" customFormat="false" ht="15" hidden="false" customHeight="false" outlineLevel="0" collapsed="false">
      <c r="A3" s="9" t="s">
        <v>134</v>
      </c>
    </row>
    <row r="5" customFormat="false" ht="30" hidden="false" customHeight="true" outlineLevel="0" collapsed="false">
      <c r="A5" s="6" t="s">
        <v>938</v>
      </c>
      <c r="B5" s="6" t="s">
        <v>939</v>
      </c>
      <c r="C5" s="6" t="s">
        <v>135</v>
      </c>
      <c r="D5" s="6" t="s">
        <v>940</v>
      </c>
      <c r="E5" s="6" t="s">
        <v>941</v>
      </c>
      <c r="F5" s="6" t="s">
        <v>942</v>
      </c>
      <c r="G5" s="6" t="s">
        <v>197</v>
      </c>
      <c r="H5" s="6" t="s">
        <v>943</v>
      </c>
      <c r="I5" s="6" t="s">
        <v>944</v>
      </c>
      <c r="J5" s="6" t="s">
        <v>945</v>
      </c>
      <c r="L5" s="46" t="inlineStr">
        <is>
          <t>Summary phase</t>
        </is>
      </c>
      <c r="M5" s="46" t="s">
        <v>946</v>
      </c>
      <c r="N5" s="46" t="s">
        <v>947</v>
      </c>
      <c r="O5" s="46" t="s">
        <v>948</v>
      </c>
      <c r="P5" s="46" t="s">
        <v>949</v>
      </c>
    </row>
    <row r="6" customFormat="false" ht="22.35" hidden="false" customHeight="false" outlineLevel="0" collapsed="false">
      <c r="A6" s="12" t="s">
        <v>950</v>
      </c>
      <c r="B6" s="8" t="s">
        <v>951</v>
      </c>
      <c r="C6" s="8" t="s">
        <v>952</v>
      </c>
      <c r="D6" s="8" t="s">
        <v>953</v>
      </c>
      <c r="E6" s="8" t="s">
        <v>954</v>
      </c>
      <c r="F6" s="8" t="s">
        <v>955</v>
      </c>
      <c r="G6" s="13" t="s">
        <v>949</v>
      </c>
      <c r="H6" s="14"/>
      <c r="I6" s="13"/>
      <c r="J6" s="13"/>
      <c r="L6" s="12" t="s">
        <v>956</v>
      </c>
      <c r="M6" s="8" t="n">
        <f aca="false">COUNTIF($B$6:$B$106,L6)</f>
        <v>1</v>
      </c>
      <c r="N6" s="8" t="n">
        <f aca="false">COUNTIFS($B$6:$B$106,L6,$G$6:$G$106,"Pass")+COUNTIFS($B$6:$B$106,L6,$G$6:$G$106,"Pass after retest")</f>
        <v>0</v>
      </c>
      <c r="O6" s="8" t="n">
        <f aca="false">COUNTIFS($B$6:$B$106,L6,$G$6:$G$106,"Fail")</f>
        <v>0</v>
      </c>
      <c r="P6" s="8" t="n">
        <f aca="false">COUNTIFS($B$6:$B$106,L6,$G$6:$G$106,"Not run")</f>
        <v>1</v>
      </c>
    </row>
    <row r="7" customFormat="false" ht="15" hidden="false" customHeight="false" outlineLevel="0" collapsed="false">
      <c r="A7" s="12" t="s">
        <v>957</v>
      </c>
      <c r="B7" s="8" t="s">
        <v>951</v>
      </c>
      <c r="C7" s="8" t="s">
        <v>952</v>
      </c>
      <c r="D7" s="8" t="s">
        <v>958</v>
      </c>
      <c r="E7" s="8" t="s">
        <v>959</v>
      </c>
      <c r="F7" s="8" t="s">
        <v>960</v>
      </c>
      <c r="G7" s="13" t="s">
        <v>949</v>
      </c>
      <c r="H7" s="14"/>
      <c r="I7" s="13"/>
      <c r="J7" s="13"/>
      <c r="L7" s="12" t="s">
        <v>961</v>
      </c>
      <c r="M7" s="8" t="n">
        <f aca="false">COUNTIF($B$6:$B$106,L7)</f>
        <v>1</v>
      </c>
      <c r="N7" s="8" t="n">
        <f aca="false">COUNTIFS($B$6:$B$106,L7,$G$6:$G$106,"Pass")+COUNTIFS($B$6:$B$106,L7,$G$6:$G$106,"Pass after retest")</f>
        <v>0</v>
      </c>
      <c r="O7" s="8" t="n">
        <f aca="false">COUNTIFS($B$6:$B$106,L7,$G$6:$G$106,"Fail")</f>
        <v>0</v>
      </c>
      <c r="P7" s="8" t="n">
        <f aca="false">COUNTIFS($B$6:$B$106,L7,$G$6:$G$106,"Not run")</f>
        <v>1</v>
      </c>
    </row>
    <row r="8" customFormat="false" ht="15" hidden="false" customHeight="false" outlineLevel="0" collapsed="false">
      <c r="A8" s="12" t="s">
        <v>962</v>
      </c>
      <c r="B8" s="8" t="s">
        <v>951</v>
      </c>
      <c r="C8" s="8" t="s">
        <v>952</v>
      </c>
      <c r="D8" s="8" t="s">
        <v>963</v>
      </c>
      <c r="E8" s="8" t="s">
        <v>964</v>
      </c>
      <c r="F8" s="8" t="s">
        <v>965</v>
      </c>
      <c r="G8" s="13" t="s">
        <v>949</v>
      </c>
      <c r="H8" s="14"/>
      <c r="I8" s="13"/>
      <c r="J8" s="13"/>
      <c r="L8" s="12" t="s">
        <v>951</v>
      </c>
      <c r="M8" s="8" t="n">
        <f aca="false">COUNTIF($B$6:$B$106,L8)</f>
        <v>15</v>
      </c>
      <c r="N8" s="8" t="n">
        <f aca="false">COUNTIFS($B$6:$B$106,L8,$G$6:$G$106,"Pass")+COUNTIFS($B$6:$B$106,L8,$G$6:$G$106,"Pass after retest")</f>
        <v>0</v>
      </c>
      <c r="O8" s="8" t="n">
        <f aca="false">COUNTIFS($B$6:$B$106,L8,$G$6:$G$106,"Fail")</f>
        <v>0</v>
      </c>
      <c r="P8" s="8" t="n">
        <f aca="false">COUNTIFS($B$6:$B$106,L8,$G$6:$G$106,"Not run")</f>
        <v>15</v>
      </c>
    </row>
    <row r="9" customFormat="false" ht="15" hidden="false" customHeight="false" outlineLevel="0" collapsed="false">
      <c r="A9" s="12" t="s">
        <v>966</v>
      </c>
      <c r="B9" s="8" t="s">
        <v>951</v>
      </c>
      <c r="C9" s="8" t="s">
        <v>952</v>
      </c>
      <c r="D9" s="8" t="s">
        <v>967</v>
      </c>
      <c r="E9" s="8" t="s">
        <v>968</v>
      </c>
      <c r="F9" s="8" t="s">
        <v>969</v>
      </c>
      <c r="G9" s="13" t="s">
        <v>949</v>
      </c>
      <c r="H9" s="14"/>
      <c r="I9" s="13"/>
      <c r="J9" s="13"/>
      <c r="L9" s="12" t="s">
        <v>970</v>
      </c>
      <c r="M9" s="8" t="n">
        <f aca="false">COUNTIF($B$6:$B$106,L9)</f>
        <v>10</v>
      </c>
      <c r="N9" s="8" t="n">
        <f aca="false">COUNTIFS($B$6:$B$106,L9,$G$6:$G$106,"Pass")+COUNTIFS($B$6:$B$106,L9,$G$6:$G$106,"Pass after retest")</f>
        <v>0</v>
      </c>
      <c r="O9" s="8" t="n">
        <f aca="false">COUNTIFS($B$6:$B$106,L9,$G$6:$G$106,"Fail")</f>
        <v>0</v>
      </c>
      <c r="P9" s="8" t="n">
        <f aca="false">COUNTIFS($B$6:$B$106,L9,$G$6:$G$106,"Not run")</f>
        <v>10</v>
      </c>
    </row>
    <row r="10" customFormat="false" ht="15" hidden="false" customHeight="false" outlineLevel="0" collapsed="false">
      <c r="A10" s="12" t="s">
        <v>971</v>
      </c>
      <c r="B10" s="8" t="s">
        <v>951</v>
      </c>
      <c r="C10" s="8" t="s">
        <v>952</v>
      </c>
      <c r="D10" s="8" t="s">
        <v>972</v>
      </c>
      <c r="E10" s="8" t="s">
        <v>973</v>
      </c>
      <c r="F10" s="8" t="s">
        <v>974</v>
      </c>
      <c r="G10" s="13" t="s">
        <v>949</v>
      </c>
      <c r="H10" s="14"/>
      <c r="I10" s="13"/>
      <c r="J10" s="13"/>
      <c r="L10" s="12" t="s">
        <v>975</v>
      </c>
      <c r="M10" s="8" t="n">
        <f aca="false">COUNTIF($B$6:$B$106,L10)</f>
        <v>26</v>
      </c>
      <c r="N10" s="8" t="n">
        <f aca="false">COUNTIFS($B$6:$B$106,L10,$G$6:$G$106,"Pass")+COUNTIFS($B$6:$B$106,L10,$G$6:$G$106,"Pass after retest")</f>
        <v>0</v>
      </c>
      <c r="O10" s="8" t="n">
        <f aca="false">COUNTIFS($B$6:$B$106,L10,$G$6:$G$106,"Fail")</f>
        <v>0</v>
      </c>
      <c r="P10" s="8" t="n">
        <f aca="false">COUNTIFS($B$6:$B$106,L10,$G$6:$G$106,"Not run")</f>
        <v>26</v>
      </c>
    </row>
    <row r="11" customFormat="false" ht="15" hidden="false" customHeight="false" outlineLevel="0" collapsed="false">
      <c r="A11" s="12" t="s">
        <v>976</v>
      </c>
      <c r="B11" s="8" t="s">
        <v>951</v>
      </c>
      <c r="C11" s="8" t="s">
        <v>952</v>
      </c>
      <c r="D11" s="8" t="s">
        <v>977</v>
      </c>
      <c r="E11" s="8" t="s">
        <v>978</v>
      </c>
      <c r="F11" s="8" t="s">
        <v>979</v>
      </c>
      <c r="G11" s="13" t="s">
        <v>949</v>
      </c>
      <c r="H11" s="14"/>
      <c r="I11" s="13"/>
      <c r="J11" s="13"/>
      <c r="L11" s="12" t="s">
        <v>350</v>
      </c>
      <c r="M11" s="8" t="n">
        <f aca="false">COUNTIF($B$6:$B$106,L11)</f>
        <v>10</v>
      </c>
      <c r="N11" s="8" t="n">
        <f aca="false">COUNTIFS($B$6:$B$106,L11,$G$6:$G$106,"Pass")+COUNTIFS($B$6:$B$106,L11,$G$6:$G$106,"Pass after retest")</f>
        <v>0</v>
      </c>
      <c r="O11" s="8" t="n">
        <f aca="false">COUNTIFS($B$6:$B$106,L11,$G$6:$G$106,"Fail")</f>
        <v>0</v>
      </c>
      <c r="P11" s="8" t="n">
        <f aca="false">COUNTIFS($B$6:$B$106,L11,$G$6:$G$106,"Not run")</f>
        <v>10</v>
      </c>
    </row>
    <row r="12" customFormat="false" ht="15" hidden="false" customHeight="false" outlineLevel="0" collapsed="false">
      <c r="A12" s="12" t="s">
        <v>980</v>
      </c>
      <c r="B12" s="8" t="s">
        <v>951</v>
      </c>
      <c r="C12" s="8" t="s">
        <v>952</v>
      </c>
      <c r="D12" s="8" t="s">
        <v>981</v>
      </c>
      <c r="E12" s="8" t="s">
        <v>982</v>
      </c>
      <c r="F12" s="8" t="s">
        <v>983</v>
      </c>
      <c r="G12" s="13" t="s">
        <v>949</v>
      </c>
      <c r="H12" s="14"/>
      <c r="I12" s="13"/>
      <c r="J12" s="13"/>
      <c r="L12" s="12" t="s">
        <v>342</v>
      </c>
      <c r="M12" s="8" t="n">
        <f aca="false">COUNTIF($B$6:$B$106,L12)</f>
        <v>2</v>
      </c>
      <c r="N12" s="8" t="n">
        <f aca="false">COUNTIFS($B$6:$B$106,L12,$G$6:$G$106,"Pass")+COUNTIFS($B$6:$B$106,L12,$G$6:$G$106,"Pass after retest")</f>
        <v>0</v>
      </c>
      <c r="O12" s="8" t="n">
        <f aca="false">COUNTIFS($B$6:$B$106,L12,$G$6:$G$106,"Fail")</f>
        <v>0</v>
      </c>
      <c r="P12" s="8" t="n">
        <f aca="false">COUNTIFS($B$6:$B$106,L12,$G$6:$G$106,"Not run")</f>
        <v>2</v>
      </c>
    </row>
    <row r="13" customFormat="false" ht="15" hidden="false" customHeight="false" outlineLevel="0" collapsed="false">
      <c r="A13" s="12" t="s">
        <v>984</v>
      </c>
      <c r="B13" s="8" t="s">
        <v>951</v>
      </c>
      <c r="C13" s="8" t="s">
        <v>952</v>
      </c>
      <c r="D13" s="8" t="s">
        <v>985</v>
      </c>
      <c r="E13" s="8" t="s">
        <v>986</v>
      </c>
      <c r="F13" s="8" t="s">
        <v>987</v>
      </c>
      <c r="G13" s="13" t="s">
        <v>949</v>
      </c>
      <c r="H13" s="14"/>
      <c r="I13" s="13"/>
      <c r="J13" s="13"/>
      <c r="L13" s="12" t="s">
        <v>988</v>
      </c>
      <c r="M13" s="8" t="n">
        <f aca="false">COUNTIF($B$6:$B$106,L13)</f>
        <v>4</v>
      </c>
      <c r="N13" s="8" t="n">
        <f aca="false">COUNTIFS($B$6:$B$106,L13,$G$6:$G$106,"Pass")+COUNTIFS($B$6:$B$106,L13,$G$6:$G$106,"Pass after retest")</f>
        <v>0</v>
      </c>
      <c r="O13" s="8" t="n">
        <f aca="false">COUNTIFS($B$6:$B$106,L13,$G$6:$G$106,"Fail")</f>
        <v>0</v>
      </c>
      <c r="P13" s="8" t="n">
        <f aca="false">COUNTIFS($B$6:$B$106,L13,$G$6:$G$106,"Not run")</f>
        <v>4</v>
      </c>
    </row>
    <row r="14" customFormat="false" ht="15" hidden="false" customHeight="false" outlineLevel="0" collapsed="false">
      <c r="A14" s="12" t="s">
        <v>989</v>
      </c>
      <c r="B14" s="8" t="s">
        <v>951</v>
      </c>
      <c r="C14" s="8" t="s">
        <v>952</v>
      </c>
      <c r="D14" s="8" t="s">
        <v>990</v>
      </c>
      <c r="E14" s="8" t="s">
        <v>991</v>
      </c>
      <c r="F14" s="8" t="s">
        <v>992</v>
      </c>
      <c r="G14" s="13" t="s">
        <v>949</v>
      </c>
      <c r="H14" s="14"/>
      <c r="I14" s="13"/>
      <c r="J14" s="13"/>
      <c r="L14" s="12" t="s">
        <v>993</v>
      </c>
      <c r="M14" s="8" t="n">
        <f aca="false">COUNTIF($B$6:$B$106,L14)</f>
        <v>2</v>
      </c>
      <c r="N14" s="8" t="n">
        <f aca="false">COUNTIFS($B$6:$B$106,L14,$G$6:$G$106,"Pass")+COUNTIFS($B$6:$B$106,L14,$G$6:$G$106,"Pass after retest")</f>
        <v>0</v>
      </c>
      <c r="O14" s="8" t="n">
        <f aca="false">COUNTIFS($B$6:$B$106,L14,$G$6:$G$106,"Fail")</f>
        <v>0</v>
      </c>
      <c r="P14" s="8" t="n">
        <f aca="false">COUNTIFS($B$6:$B$106,L14,$G$6:$G$106,"Not run")</f>
        <v>2</v>
      </c>
    </row>
    <row r="15" customFormat="false" ht="22.35" hidden="false" customHeight="false" outlineLevel="0" collapsed="false">
      <c r="A15" s="12" t="s">
        <v>994</v>
      </c>
      <c r="B15" s="8" t="s">
        <v>951</v>
      </c>
      <c r="C15" s="8" t="s">
        <v>952</v>
      </c>
      <c r="D15" s="8" t="s">
        <v>995</v>
      </c>
      <c r="E15" s="8" t="s">
        <v>996</v>
      </c>
      <c r="F15" s="8" t="s">
        <v>997</v>
      </c>
      <c r="G15" s="13" t="s">
        <v>949</v>
      </c>
      <c r="H15" s="14"/>
      <c r="I15" s="13"/>
      <c r="J15" s="13"/>
    </row>
    <row r="16" customFormat="false" ht="15" hidden="false" customHeight="false" outlineLevel="0" collapsed="false">
      <c r="A16" s="12" t="s">
        <v>998</v>
      </c>
      <c r="B16" s="8" t="s">
        <v>951</v>
      </c>
      <c r="C16" s="8" t="s">
        <v>952</v>
      </c>
      <c r="D16" s="8" t="s">
        <v>999</v>
      </c>
      <c r="E16" s="8" t="s">
        <v>1000</v>
      </c>
      <c r="F16" s="8" t="s">
        <v>1001</v>
      </c>
      <c r="G16" s="13" t="s">
        <v>949</v>
      </c>
      <c r="H16" s="14"/>
      <c r="I16" s="13"/>
      <c r="J16" s="13"/>
    </row>
    <row r="17" customFormat="false" ht="15" hidden="false" customHeight="false" outlineLevel="0" collapsed="false">
      <c r="A17" s="12" t="s">
        <v>1002</v>
      </c>
      <c r="B17" s="8" t="s">
        <v>951</v>
      </c>
      <c r="C17" s="8" t="s">
        <v>952</v>
      </c>
      <c r="D17" s="8" t="s">
        <v>1003</v>
      </c>
      <c r="E17" s="8" t="s">
        <v>1004</v>
      </c>
      <c r="F17" s="8" t="s">
        <v>1005</v>
      </c>
      <c r="G17" s="13" t="s">
        <v>949</v>
      </c>
      <c r="H17" s="14"/>
      <c r="I17" s="13"/>
      <c r="J17" s="13"/>
    </row>
    <row r="18" customFormat="false" ht="15" hidden="false" customHeight="false" outlineLevel="0" collapsed="false">
      <c r="A18" s="12" t="s">
        <v>1006</v>
      </c>
      <c r="B18" s="8" t="s">
        <v>951</v>
      </c>
      <c r="C18" s="8" t="s">
        <v>952</v>
      </c>
      <c r="D18" s="8" t="s">
        <v>1007</v>
      </c>
      <c r="E18" s="8" t="s">
        <v>1008</v>
      </c>
      <c r="F18" s="8" t="s">
        <v>1009</v>
      </c>
      <c r="G18" s="13" t="s">
        <v>949</v>
      </c>
      <c r="H18" s="14"/>
      <c r="I18" s="13"/>
      <c r="J18" s="13"/>
    </row>
    <row r="19" customFormat="false" ht="22.35" hidden="false" customHeight="false" outlineLevel="0" collapsed="false">
      <c r="A19" s="12" t="s">
        <v>1010</v>
      </c>
      <c r="B19" s="8" t="s">
        <v>951</v>
      </c>
      <c r="C19" s="8" t="s">
        <v>952</v>
      </c>
      <c r="D19" s="8" t="s">
        <v>1011</v>
      </c>
      <c r="E19" s="8" t="s">
        <v>1012</v>
      </c>
      <c r="F19" s="8" t="s">
        <v>1013</v>
      </c>
      <c r="G19" s="13" t="s">
        <v>949</v>
      </c>
      <c r="H19" s="14"/>
      <c r="I19" s="13"/>
      <c r="J19" s="13"/>
    </row>
    <row r="20" customFormat="false" ht="32.8" hidden="false" customHeight="false" outlineLevel="0" collapsed="false">
      <c r="A20" s="12" t="s">
        <v>1014</v>
      </c>
      <c r="B20" s="8" t="s">
        <v>951</v>
      </c>
      <c r="C20" s="8" t="s">
        <v>952</v>
      </c>
      <c r="D20" s="8" t="s">
        <v>1015</v>
      </c>
      <c r="E20" s="8" t="s">
        <v>1016</v>
      </c>
      <c r="F20" s="8" t="s">
        <v>1017</v>
      </c>
      <c r="G20" s="13" t="s">
        <v>949</v>
      </c>
      <c r="H20" s="14"/>
      <c r="I20" s="13"/>
      <c r="J20" s="13"/>
    </row>
    <row r="21" customFormat="false" ht="15" hidden="false" customHeight="false" outlineLevel="0" collapsed="false">
      <c r="A21" s="12" t="s">
        <v>1018</v>
      </c>
      <c r="B21" s="8" t="s">
        <v>961</v>
      </c>
      <c r="C21" s="8" t="s">
        <v>1019</v>
      </c>
      <c r="D21" s="8" t="s">
        <v>1020</v>
      </c>
      <c r="E21" s="8" t="s">
        <v>1021</v>
      </c>
      <c r="F21" s="8" t="s">
        <v>1022</v>
      </c>
      <c r="G21" s="13" t="s">
        <v>949</v>
      </c>
      <c r="H21" s="14"/>
      <c r="I21" s="13"/>
      <c r="J21" s="13"/>
    </row>
    <row r="22" customFormat="false" ht="22.35" hidden="false" customHeight="false" outlineLevel="0" collapsed="false">
      <c r="A22" s="12" t="s">
        <v>1023</v>
      </c>
      <c r="B22" s="8" t="s">
        <v>956</v>
      </c>
      <c r="C22" s="8" t="s">
        <v>1024</v>
      </c>
      <c r="D22" s="8" t="s">
        <v>1025</v>
      </c>
      <c r="E22" s="8" t="s">
        <v>1026</v>
      </c>
      <c r="F22" s="8" t="s">
        <v>1027</v>
      </c>
      <c r="G22" s="13" t="s">
        <v>949</v>
      </c>
      <c r="H22" s="14"/>
      <c r="I22" s="13"/>
      <c r="J22" s="13"/>
    </row>
    <row r="23" customFormat="false" ht="32.8" hidden="false" customHeight="false" outlineLevel="0" collapsed="false">
      <c r="A23" s="12" t="s">
        <v>1028</v>
      </c>
      <c r="B23" s="8" t="s">
        <v>970</v>
      </c>
      <c r="C23" s="8" t="s">
        <v>161</v>
      </c>
      <c r="D23" s="8" t="s">
        <v>1029</v>
      </c>
      <c r="E23" s="8" t="s">
        <v>1030</v>
      </c>
      <c r="F23" s="8" t="s">
        <v>1031</v>
      </c>
      <c r="G23" s="13" t="s">
        <v>949</v>
      </c>
      <c r="H23" s="14"/>
      <c r="I23" s="13"/>
      <c r="J23" s="13"/>
    </row>
    <row r="24" customFormat="false" ht="22.35" hidden="false" customHeight="false" outlineLevel="0" collapsed="false">
      <c r="A24" s="12" t="s">
        <v>1032</v>
      </c>
      <c r="B24" s="8" t="s">
        <v>970</v>
      </c>
      <c r="C24" s="8" t="s">
        <v>1033</v>
      </c>
      <c r="D24" s="8" t="s">
        <v>1034</v>
      </c>
      <c r="E24" s="8" t="s">
        <v>1035</v>
      </c>
      <c r="F24" s="8" t="s">
        <v>1036</v>
      </c>
      <c r="G24" s="13" t="s">
        <v>949</v>
      </c>
      <c r="H24" s="14"/>
      <c r="I24" s="13"/>
      <c r="J24" s="13"/>
    </row>
    <row r="25" customFormat="false" ht="22.35" hidden="false" customHeight="false" outlineLevel="0" collapsed="false">
      <c r="A25" s="12" t="s">
        <v>1037</v>
      </c>
      <c r="B25" s="8" t="s">
        <v>970</v>
      </c>
      <c r="C25" s="8" t="s">
        <v>346</v>
      </c>
      <c r="D25" s="8" t="s">
        <v>1038</v>
      </c>
      <c r="E25" s="8" t="s">
        <v>1039</v>
      </c>
      <c r="F25" s="8" t="s">
        <v>1040</v>
      </c>
      <c r="G25" s="13" t="s">
        <v>949</v>
      </c>
      <c r="H25" s="14"/>
      <c r="I25" s="13"/>
      <c r="J25" s="13"/>
    </row>
    <row r="26" customFormat="false" ht="22.35" hidden="false" customHeight="false" outlineLevel="0" collapsed="false">
      <c r="A26" s="12" t="s">
        <v>1041</v>
      </c>
      <c r="B26" s="8" t="s">
        <v>970</v>
      </c>
      <c r="C26" s="8" t="s">
        <v>1024</v>
      </c>
      <c r="D26" s="8" t="s">
        <v>1042</v>
      </c>
      <c r="E26" s="8" t="s">
        <v>1043</v>
      </c>
      <c r="F26" s="8" t="s">
        <v>1044</v>
      </c>
      <c r="G26" s="13" t="s">
        <v>949</v>
      </c>
      <c r="H26" s="14"/>
      <c r="I26" s="13"/>
      <c r="J26" s="13"/>
    </row>
    <row r="27" customFormat="false" ht="15" hidden="false" customHeight="false" outlineLevel="0" collapsed="false">
      <c r="A27" s="12" t="s">
        <v>1045</v>
      </c>
      <c r="B27" s="8" t="s">
        <v>970</v>
      </c>
      <c r="C27" s="8" t="s">
        <v>161</v>
      </c>
      <c r="D27" s="8" t="s">
        <v>1046</v>
      </c>
      <c r="E27" s="8" t="s">
        <v>1047</v>
      </c>
      <c r="F27" s="8" t="s">
        <v>1048</v>
      </c>
      <c r="G27" s="13" t="s">
        <v>949</v>
      </c>
      <c r="H27" s="14"/>
      <c r="I27" s="13"/>
      <c r="J27" s="13"/>
    </row>
    <row r="28" customFormat="false" ht="22.35" hidden="false" customHeight="false" outlineLevel="0" collapsed="false">
      <c r="A28" s="12" t="s">
        <v>1049</v>
      </c>
      <c r="B28" s="8" t="s">
        <v>970</v>
      </c>
      <c r="C28" s="8" t="s">
        <v>161</v>
      </c>
      <c r="D28" s="8" t="s">
        <v>1050</v>
      </c>
      <c r="E28" s="8" t="s">
        <v>1051</v>
      </c>
      <c r="F28" s="8" t="s">
        <v>1052</v>
      </c>
      <c r="G28" s="13" t="s">
        <v>949</v>
      </c>
      <c r="H28" s="14"/>
      <c r="I28" s="13"/>
      <c r="J28" s="13"/>
    </row>
    <row r="29" customFormat="false" ht="15" hidden="false" customHeight="false" outlineLevel="0" collapsed="false">
      <c r="A29" s="12" t="s">
        <v>1053</v>
      </c>
      <c r="B29" s="8" t="s">
        <v>970</v>
      </c>
      <c r="C29" s="8" t="s">
        <v>161</v>
      </c>
      <c r="D29" s="8" t="s">
        <v>1054</v>
      </c>
      <c r="E29" s="8" t="s">
        <v>1055</v>
      </c>
      <c r="F29" s="8" t="s">
        <v>1056</v>
      </c>
      <c r="G29" s="13" t="s">
        <v>949</v>
      </c>
      <c r="H29" s="14"/>
      <c r="I29" s="13"/>
      <c r="J29" s="13"/>
    </row>
    <row r="30" customFormat="false" ht="15" hidden="false" customHeight="false" outlineLevel="0" collapsed="false">
      <c r="A30" s="12" t="s">
        <v>1057</v>
      </c>
      <c r="B30" s="8" t="s">
        <v>970</v>
      </c>
      <c r="C30" s="8" t="s">
        <v>161</v>
      </c>
      <c r="D30" s="8" t="s">
        <v>1058</v>
      </c>
      <c r="E30" s="8" t="s">
        <v>1059</v>
      </c>
      <c r="F30" s="8" t="s">
        <v>1060</v>
      </c>
      <c r="G30" s="13" t="s">
        <v>949</v>
      </c>
      <c r="H30" s="14"/>
      <c r="I30" s="13"/>
      <c r="J30" s="13"/>
    </row>
    <row r="31" customFormat="false" ht="15" hidden="false" customHeight="false" outlineLevel="0" collapsed="false">
      <c r="A31" s="12" t="s">
        <v>1061</v>
      </c>
      <c r="B31" s="8" t="s">
        <v>970</v>
      </c>
      <c r="C31" s="8" t="s">
        <v>161</v>
      </c>
      <c r="D31" s="8" t="s">
        <v>1062</v>
      </c>
      <c r="E31" s="8" t="s">
        <v>1063</v>
      </c>
      <c r="F31" s="8" t="s">
        <v>1064</v>
      </c>
      <c r="G31" s="13" t="s">
        <v>949</v>
      </c>
      <c r="H31" s="14"/>
      <c r="I31" s="13"/>
      <c r="J31" s="13"/>
    </row>
    <row r="32" customFormat="false" ht="22.35" hidden="false" customHeight="false" outlineLevel="0" collapsed="false">
      <c r="A32" s="12" t="s">
        <v>1065</v>
      </c>
      <c r="B32" s="8" t="s">
        <v>970</v>
      </c>
      <c r="C32" s="8" t="s">
        <v>1066</v>
      </c>
      <c r="D32" s="8" t="s">
        <v>1067</v>
      </c>
      <c r="E32" s="8" t="s">
        <v>1068</v>
      </c>
      <c r="F32" s="8" t="s">
        <v>1069</v>
      </c>
      <c r="G32" s="13" t="s">
        <v>949</v>
      </c>
      <c r="H32" s="14"/>
      <c r="I32" s="13"/>
      <c r="J32" s="13"/>
    </row>
    <row r="33" customFormat="false" ht="15" hidden="false" customHeight="false" outlineLevel="0" collapsed="false">
      <c r="A33" s="12" t="s">
        <v>1070</v>
      </c>
      <c r="B33" s="8" t="s">
        <v>975</v>
      </c>
      <c r="C33" s="8" t="s">
        <v>1071</v>
      </c>
      <c r="D33" s="8" t="s">
        <v>1072</v>
      </c>
      <c r="E33" s="8" t="s">
        <v>1073</v>
      </c>
      <c r="F33" s="8" t="s">
        <v>1074</v>
      </c>
      <c r="G33" s="13" t="s">
        <v>949</v>
      </c>
      <c r="H33" s="14"/>
      <c r="I33" s="13"/>
      <c r="J33" s="13"/>
    </row>
    <row r="34" customFormat="false" ht="15" hidden="false" customHeight="false" outlineLevel="0" collapsed="false">
      <c r="A34" s="12" t="s">
        <v>1075</v>
      </c>
      <c r="B34" s="8" t="s">
        <v>975</v>
      </c>
      <c r="C34" s="8" t="s">
        <v>1071</v>
      </c>
      <c r="D34" s="8" t="s">
        <v>1076</v>
      </c>
      <c r="E34" s="8" t="s">
        <v>1077</v>
      </c>
      <c r="F34" s="8" t="s">
        <v>1078</v>
      </c>
      <c r="G34" s="13" t="s">
        <v>949</v>
      </c>
      <c r="H34" s="14"/>
      <c r="I34" s="13"/>
      <c r="J34" s="13"/>
    </row>
    <row r="35" customFormat="false" ht="15" hidden="false" customHeight="false" outlineLevel="0" collapsed="false">
      <c r="A35" s="12" t="s">
        <v>1079</v>
      </c>
      <c r="B35" s="8" t="s">
        <v>975</v>
      </c>
      <c r="C35" s="8" t="s">
        <v>1071</v>
      </c>
      <c r="D35" s="8" t="s">
        <v>1080</v>
      </c>
      <c r="E35" s="8" t="s">
        <v>1081</v>
      </c>
      <c r="F35" s="8" t="s">
        <v>1082</v>
      </c>
      <c r="G35" s="13" t="s">
        <v>949</v>
      </c>
      <c r="H35" s="14"/>
      <c r="I35" s="13"/>
      <c r="J35" s="13"/>
    </row>
    <row r="36" customFormat="false" ht="22.35" hidden="false" customHeight="false" outlineLevel="0" collapsed="false">
      <c r="A36" s="12" t="s">
        <v>1083</v>
      </c>
      <c r="B36" s="8" t="s">
        <v>975</v>
      </c>
      <c r="C36" s="8" t="s">
        <v>1071</v>
      </c>
      <c r="D36" s="8" t="s">
        <v>1084</v>
      </c>
      <c r="E36" s="8" t="s">
        <v>1085</v>
      </c>
      <c r="F36" s="8" t="s">
        <v>1086</v>
      </c>
      <c r="G36" s="13" t="s">
        <v>949</v>
      </c>
      <c r="H36" s="14"/>
      <c r="I36" s="13"/>
      <c r="J36" s="13"/>
    </row>
    <row r="37" customFormat="false" ht="22.35" hidden="false" customHeight="false" outlineLevel="0" collapsed="false">
      <c r="A37" s="12" t="s">
        <v>1087</v>
      </c>
      <c r="B37" s="8" t="s">
        <v>975</v>
      </c>
      <c r="C37" s="8" t="s">
        <v>1071</v>
      </c>
      <c r="D37" s="8" t="s">
        <v>1088</v>
      </c>
      <c r="E37" s="8" t="s">
        <v>1089</v>
      </c>
      <c r="F37" s="8" t="s">
        <v>1090</v>
      </c>
      <c r="G37" s="13" t="s">
        <v>949</v>
      </c>
      <c r="H37" s="14"/>
      <c r="I37" s="13"/>
      <c r="J37" s="13"/>
    </row>
    <row r="38" customFormat="false" ht="15" hidden="false" customHeight="false" outlineLevel="0" collapsed="false">
      <c r="A38" s="12" t="s">
        <v>1091</v>
      </c>
      <c r="B38" s="8" t="s">
        <v>975</v>
      </c>
      <c r="C38" s="8" t="s">
        <v>1071</v>
      </c>
      <c r="D38" s="8" t="s">
        <v>1092</v>
      </c>
      <c r="E38" s="8" t="s">
        <v>1093</v>
      </c>
      <c r="F38" s="8" t="s">
        <v>1094</v>
      </c>
      <c r="G38" s="13" t="s">
        <v>949</v>
      </c>
      <c r="H38" s="14"/>
      <c r="I38" s="13"/>
      <c r="J38" s="13"/>
    </row>
    <row r="39" customFormat="false" ht="15" hidden="false" customHeight="false" outlineLevel="0" collapsed="false">
      <c r="A39" s="12" t="s">
        <v>1095</v>
      </c>
      <c r="B39" s="8" t="s">
        <v>975</v>
      </c>
      <c r="C39" s="8" t="s">
        <v>1071</v>
      </c>
      <c r="D39" s="8" t="s">
        <v>1096</v>
      </c>
      <c r="E39" s="8" t="s">
        <v>1097</v>
      </c>
      <c r="F39" s="8" t="s">
        <v>1098</v>
      </c>
      <c r="G39" s="13" t="s">
        <v>949</v>
      </c>
      <c r="H39" s="14"/>
      <c r="I39" s="13"/>
      <c r="J39" s="13"/>
    </row>
    <row r="40" customFormat="false" ht="15" hidden="false" customHeight="false" outlineLevel="0" collapsed="false">
      <c r="A40" s="12" t="s">
        <v>1099</v>
      </c>
      <c r="B40" s="8" t="s">
        <v>975</v>
      </c>
      <c r="C40" s="8" t="s">
        <v>1071</v>
      </c>
      <c r="D40" s="8" t="s">
        <v>1100</v>
      </c>
      <c r="E40" s="8" t="s">
        <v>1101</v>
      </c>
      <c r="F40" s="8" t="s">
        <v>1102</v>
      </c>
      <c r="G40" s="13" t="s">
        <v>949</v>
      </c>
      <c r="H40" s="14"/>
      <c r="I40" s="13"/>
      <c r="J40" s="13"/>
    </row>
    <row r="41" customFormat="false" ht="15" hidden="false" customHeight="false" outlineLevel="0" collapsed="false">
      <c r="A41" s="12" t="s">
        <v>1103</v>
      </c>
      <c r="B41" s="8" t="s">
        <v>975</v>
      </c>
      <c r="C41" s="8" t="s">
        <v>1104</v>
      </c>
      <c r="D41" s="8" t="s">
        <v>1105</v>
      </c>
      <c r="E41" s="8" t="s">
        <v>1106</v>
      </c>
      <c r="F41" s="8" t="s">
        <v>1107</v>
      </c>
      <c r="G41" s="13" t="s">
        <v>949</v>
      </c>
      <c r="H41" s="14"/>
      <c r="I41" s="13"/>
      <c r="J41" s="13"/>
    </row>
    <row r="42" customFormat="false" ht="15" hidden="false" customHeight="false" outlineLevel="0" collapsed="false">
      <c r="A42" s="12" t="s">
        <v>1108</v>
      </c>
      <c r="B42" s="8" t="s">
        <v>975</v>
      </c>
      <c r="C42" s="8" t="s">
        <v>1104</v>
      </c>
      <c r="D42" s="8" t="s">
        <v>1109</v>
      </c>
      <c r="E42" s="8" t="s">
        <v>1110</v>
      </c>
      <c r="F42" s="8" t="s">
        <v>1111</v>
      </c>
      <c r="G42" s="13" t="s">
        <v>949</v>
      </c>
      <c r="H42" s="14"/>
      <c r="I42" s="13"/>
      <c r="J42" s="13"/>
    </row>
    <row r="43" customFormat="false" ht="15" hidden="false" customHeight="false" outlineLevel="0" collapsed="false">
      <c r="A43" s="12" t="s">
        <v>1112</v>
      </c>
      <c r="B43" s="8" t="s">
        <v>975</v>
      </c>
      <c r="C43" s="8" t="s">
        <v>1104</v>
      </c>
      <c r="D43" s="8" t="s">
        <v>1113</v>
      </c>
      <c r="E43" s="8" t="s">
        <v>1114</v>
      </c>
      <c r="F43" s="8" t="s">
        <v>1115</v>
      </c>
      <c r="G43" s="13" t="s">
        <v>949</v>
      </c>
      <c r="H43" s="14"/>
      <c r="I43" s="13"/>
      <c r="J43" s="13"/>
    </row>
    <row r="44" customFormat="false" ht="15" hidden="false" customHeight="false" outlineLevel="0" collapsed="false">
      <c r="A44" s="12" t="s">
        <v>1116</v>
      </c>
      <c r="B44" s="8" t="s">
        <v>975</v>
      </c>
      <c r="C44" s="8" t="s">
        <v>1104</v>
      </c>
      <c r="D44" s="8" t="s">
        <v>1117</v>
      </c>
      <c r="E44" s="8" t="s">
        <v>1118</v>
      </c>
      <c r="F44" s="8" t="s">
        <v>1119</v>
      </c>
      <c r="G44" s="13" t="s">
        <v>949</v>
      </c>
      <c r="H44" s="14"/>
      <c r="I44" s="13"/>
      <c r="J44" s="13"/>
    </row>
    <row r="45" customFormat="false" ht="15" hidden="false" customHeight="false" outlineLevel="0" collapsed="false">
      <c r="A45" s="12" t="s">
        <v>1120</v>
      </c>
      <c r="B45" s="8" t="s">
        <v>975</v>
      </c>
      <c r="C45" s="8" t="s">
        <v>1104</v>
      </c>
      <c r="D45" s="8" t="s">
        <v>1121</v>
      </c>
      <c r="E45" s="8" t="s">
        <v>1122</v>
      </c>
      <c r="F45" s="8" t="s">
        <v>1123</v>
      </c>
      <c r="G45" s="13" t="s">
        <v>949</v>
      </c>
      <c r="H45" s="14"/>
      <c r="I45" s="13"/>
      <c r="J45" s="13"/>
    </row>
    <row r="46" customFormat="false" ht="15" hidden="false" customHeight="false" outlineLevel="0" collapsed="false">
      <c r="A46" s="12" t="s">
        <v>1124</v>
      </c>
      <c r="B46" s="8" t="s">
        <v>975</v>
      </c>
      <c r="C46" s="8" t="s">
        <v>1104</v>
      </c>
      <c r="D46" s="8" t="s">
        <v>1125</v>
      </c>
      <c r="E46" s="8" t="s">
        <v>1126</v>
      </c>
      <c r="F46" s="8" t="s">
        <v>1127</v>
      </c>
      <c r="G46" s="13" t="s">
        <v>949</v>
      </c>
      <c r="H46" s="14"/>
      <c r="I46" s="13"/>
      <c r="J46" s="13"/>
    </row>
    <row r="47" customFormat="false" ht="15" hidden="false" customHeight="false" outlineLevel="0" collapsed="false">
      <c r="A47" s="12" t="s">
        <v>1128</v>
      </c>
      <c r="B47" s="8" t="s">
        <v>975</v>
      </c>
      <c r="C47" s="8" t="s">
        <v>1104</v>
      </c>
      <c r="D47" s="8" t="s">
        <v>1129</v>
      </c>
      <c r="E47" s="8" t="s">
        <v>1130</v>
      </c>
      <c r="F47" s="8" t="s">
        <v>1131</v>
      </c>
      <c r="G47" s="13" t="s">
        <v>949</v>
      </c>
      <c r="H47" s="14"/>
      <c r="I47" s="13"/>
      <c r="J47" s="13"/>
    </row>
    <row r="48" customFormat="false" ht="22.35" hidden="false" customHeight="false" outlineLevel="0" collapsed="false">
      <c r="A48" s="12" t="s">
        <v>1132</v>
      </c>
      <c r="B48" s="8" t="s">
        <v>975</v>
      </c>
      <c r="C48" s="8" t="s">
        <v>1104</v>
      </c>
      <c r="D48" s="8" t="s">
        <v>1133</v>
      </c>
      <c r="E48" s="8" t="s">
        <v>1134</v>
      </c>
      <c r="F48" s="8" t="s">
        <v>1135</v>
      </c>
      <c r="G48" s="13" t="s">
        <v>949</v>
      </c>
      <c r="H48" s="14"/>
      <c r="I48" s="13"/>
      <c r="J48" s="13"/>
    </row>
    <row r="49" customFormat="false" ht="15" hidden="false" customHeight="false" outlineLevel="0" collapsed="false">
      <c r="A49" s="12" t="s">
        <v>1136</v>
      </c>
      <c r="B49" s="8" t="s">
        <v>975</v>
      </c>
      <c r="C49" s="8" t="s">
        <v>1104</v>
      </c>
      <c r="D49" s="8" t="s">
        <v>1137</v>
      </c>
      <c r="E49" s="8" t="s">
        <v>1138</v>
      </c>
      <c r="F49" s="8" t="s">
        <v>1139</v>
      </c>
      <c r="G49" s="13" t="s">
        <v>949</v>
      </c>
      <c r="H49" s="14"/>
      <c r="I49" s="13"/>
      <c r="J49" s="13"/>
    </row>
    <row r="50" customFormat="false" ht="15" hidden="false" customHeight="false" outlineLevel="0" collapsed="false">
      <c r="A50" s="12" t="s">
        <v>1140</v>
      </c>
      <c r="B50" s="8" t="s">
        <v>975</v>
      </c>
      <c r="C50" s="8" t="s">
        <v>315</v>
      </c>
      <c r="D50" s="8" t="s">
        <v>1141</v>
      </c>
      <c r="E50" s="8" t="s">
        <v>1142</v>
      </c>
      <c r="F50" s="8" t="s">
        <v>1143</v>
      </c>
      <c r="G50" s="13" t="s">
        <v>949</v>
      </c>
      <c r="H50" s="14"/>
      <c r="I50" s="13"/>
      <c r="J50" s="13"/>
    </row>
    <row r="51" customFormat="false" ht="15" hidden="false" customHeight="false" outlineLevel="0" collapsed="false">
      <c r="A51" s="12" t="s">
        <v>1144</v>
      </c>
      <c r="B51" s="8" t="s">
        <v>975</v>
      </c>
      <c r="C51" s="8" t="s">
        <v>315</v>
      </c>
      <c r="D51" s="8" t="s">
        <v>1145</v>
      </c>
      <c r="E51" s="8" t="s">
        <v>1146</v>
      </c>
      <c r="F51" s="8" t="s">
        <v>1147</v>
      </c>
      <c r="G51" s="13" t="s">
        <v>949</v>
      </c>
      <c r="H51" s="14"/>
      <c r="I51" s="13"/>
      <c r="J51" s="13"/>
    </row>
    <row r="52" customFormat="false" ht="15" hidden="false" customHeight="false" outlineLevel="0" collapsed="false">
      <c r="A52" s="12" t="s">
        <v>1148</v>
      </c>
      <c r="B52" s="8" t="s">
        <v>975</v>
      </c>
      <c r="C52" s="8" t="s">
        <v>315</v>
      </c>
      <c r="D52" s="8" t="s">
        <v>1149</v>
      </c>
      <c r="E52" s="8" t="s">
        <v>1150</v>
      </c>
      <c r="F52" s="8" t="s">
        <v>1151</v>
      </c>
      <c r="G52" s="13" t="s">
        <v>949</v>
      </c>
      <c r="H52" s="14"/>
      <c r="I52" s="13"/>
      <c r="J52" s="13"/>
    </row>
    <row r="53" customFormat="false" ht="15" hidden="false" customHeight="false" outlineLevel="0" collapsed="false">
      <c r="A53" s="12" t="s">
        <v>1152</v>
      </c>
      <c r="B53" s="8" t="s">
        <v>975</v>
      </c>
      <c r="C53" s="8" t="s">
        <v>1153</v>
      </c>
      <c r="D53" s="8" t="s">
        <v>1154</v>
      </c>
      <c r="E53" s="8" t="s">
        <v>1155</v>
      </c>
      <c r="F53" s="8" t="s">
        <v>1156</v>
      </c>
      <c r="G53" s="13" t="s">
        <v>949</v>
      </c>
      <c r="H53" s="14"/>
      <c r="I53" s="13"/>
      <c r="J53" s="13"/>
    </row>
    <row r="54" customFormat="false" ht="15" hidden="false" customHeight="false" outlineLevel="0" collapsed="false">
      <c r="A54" s="12" t="s">
        <v>1157</v>
      </c>
      <c r="B54" s="8" t="s">
        <v>975</v>
      </c>
      <c r="C54" s="8" t="s">
        <v>1153</v>
      </c>
      <c r="D54" s="8" t="s">
        <v>1158</v>
      </c>
      <c r="E54" s="8" t="s">
        <v>1159</v>
      </c>
      <c r="F54" s="8" t="s">
        <v>1160</v>
      </c>
      <c r="G54" s="13" t="s">
        <v>949</v>
      </c>
      <c r="H54" s="14"/>
      <c r="I54" s="13"/>
      <c r="J54" s="13"/>
    </row>
    <row r="55" customFormat="false" ht="15" hidden="false" customHeight="false" outlineLevel="0" collapsed="false">
      <c r="A55" s="12" t="s">
        <v>1161</v>
      </c>
      <c r="B55" s="8" t="s">
        <v>975</v>
      </c>
      <c r="C55" s="8" t="s">
        <v>1162</v>
      </c>
      <c r="D55" s="8" t="s">
        <v>1163</v>
      </c>
      <c r="E55" s="8" t="s">
        <v>1164</v>
      </c>
      <c r="F55" s="8" t="s">
        <v>1165</v>
      </c>
      <c r="G55" s="13" t="s">
        <v>949</v>
      </c>
      <c r="H55" s="14"/>
      <c r="I55" s="13"/>
      <c r="J55" s="13"/>
    </row>
    <row r="56" customFormat="false" ht="15" hidden="false" customHeight="false" outlineLevel="0" collapsed="false">
      <c r="A56" s="12" t="s">
        <v>1166</v>
      </c>
      <c r="B56" s="8" t="s">
        <v>975</v>
      </c>
      <c r="C56" s="8" t="s">
        <v>1167</v>
      </c>
      <c r="D56" s="8" t="s">
        <v>1168</v>
      </c>
      <c r="E56" s="8" t="s">
        <v>1169</v>
      </c>
      <c r="F56" s="8" t="s">
        <v>1170</v>
      </c>
      <c r="G56" s="13" t="s">
        <v>949</v>
      </c>
      <c r="H56" s="14"/>
      <c r="I56" s="13"/>
      <c r="J56" s="13"/>
    </row>
    <row r="57" customFormat="false" ht="22.35" hidden="false" customHeight="false" outlineLevel="0" collapsed="false">
      <c r="A57" s="12" t="s">
        <v>1171</v>
      </c>
      <c r="B57" s="8" t="s">
        <v>350</v>
      </c>
      <c r="C57" s="8" t="s">
        <v>350</v>
      </c>
      <c r="D57" s="8" t="s">
        <v>1172</v>
      </c>
      <c r="E57" s="8" t="s">
        <v>1173</v>
      </c>
      <c r="F57" s="8" t="s">
        <v>1174</v>
      </c>
      <c r="G57" s="13" t="s">
        <v>949</v>
      </c>
      <c r="H57" s="14"/>
      <c r="I57" s="13"/>
      <c r="J57" s="13"/>
    </row>
    <row r="58" customFormat="false" ht="22.35" hidden="false" customHeight="false" outlineLevel="0" collapsed="false">
      <c r="A58" s="12" t="s">
        <v>1175</v>
      </c>
      <c r="B58" s="8" t="s">
        <v>350</v>
      </c>
      <c r="C58" s="8" t="s">
        <v>350</v>
      </c>
      <c r="D58" s="8" t="s">
        <v>1176</v>
      </c>
      <c r="E58" s="8" t="s">
        <v>1177</v>
      </c>
      <c r="F58" s="8" t="s">
        <v>1174</v>
      </c>
      <c r="G58" s="13" t="s">
        <v>949</v>
      </c>
      <c r="H58" s="14"/>
      <c r="I58" s="13"/>
      <c r="J58" s="13"/>
    </row>
    <row r="59" customFormat="false" ht="15" hidden="false" customHeight="false" outlineLevel="0" collapsed="false">
      <c r="A59" s="12" t="s">
        <v>1178</v>
      </c>
      <c r="B59" s="8" t="s">
        <v>350</v>
      </c>
      <c r="C59" s="8" t="s">
        <v>350</v>
      </c>
      <c r="D59" s="8" t="s">
        <v>1179</v>
      </c>
      <c r="E59" s="8" t="s">
        <v>1180</v>
      </c>
      <c r="F59" s="8" t="s">
        <v>1181</v>
      </c>
      <c r="G59" s="13" t="s">
        <v>949</v>
      </c>
      <c r="H59" s="14"/>
      <c r="I59" s="13"/>
      <c r="J59" s="13"/>
    </row>
    <row r="60" customFormat="false" ht="15" hidden="false" customHeight="false" outlineLevel="0" collapsed="false">
      <c r="A60" s="12" t="s">
        <v>1182</v>
      </c>
      <c r="B60" s="8" t="s">
        <v>350</v>
      </c>
      <c r="C60" s="8" t="s">
        <v>350</v>
      </c>
      <c r="D60" s="8" t="s">
        <v>1183</v>
      </c>
      <c r="E60" s="8" t="s">
        <v>1184</v>
      </c>
      <c r="F60" s="8" t="s">
        <v>1185</v>
      </c>
      <c r="G60" s="13" t="s">
        <v>949</v>
      </c>
      <c r="H60" s="14"/>
      <c r="I60" s="13"/>
      <c r="J60" s="13"/>
    </row>
    <row r="61" customFormat="false" ht="15" hidden="false" customHeight="false" outlineLevel="0" collapsed="false">
      <c r="A61" s="12" t="s">
        <v>1186</v>
      </c>
      <c r="B61" s="8" t="s">
        <v>350</v>
      </c>
      <c r="C61" s="8" t="s">
        <v>350</v>
      </c>
      <c r="D61" s="8" t="s">
        <v>1187</v>
      </c>
      <c r="E61" s="8" t="s">
        <v>1188</v>
      </c>
      <c r="F61" s="8" t="s">
        <v>1189</v>
      </c>
      <c r="G61" s="13" t="s">
        <v>949</v>
      </c>
      <c r="H61" s="14"/>
      <c r="I61" s="13"/>
      <c r="J61" s="13"/>
    </row>
    <row r="62" customFormat="false" ht="15" hidden="false" customHeight="false" outlineLevel="0" collapsed="false">
      <c r="A62" s="12" t="s">
        <v>1190</v>
      </c>
      <c r="B62" s="8" t="s">
        <v>350</v>
      </c>
      <c r="C62" s="8" t="s">
        <v>350</v>
      </c>
      <c r="D62" s="8" t="s">
        <v>1191</v>
      </c>
      <c r="E62" s="8" t="s">
        <v>1192</v>
      </c>
      <c r="F62" s="8" t="s">
        <v>1193</v>
      </c>
      <c r="G62" s="13" t="s">
        <v>949</v>
      </c>
      <c r="H62" s="14"/>
      <c r="I62" s="13"/>
      <c r="J62" s="13"/>
    </row>
    <row r="63" customFormat="false" ht="15" hidden="false" customHeight="false" outlineLevel="0" collapsed="false">
      <c r="A63" s="12" t="s">
        <v>1194</v>
      </c>
      <c r="B63" s="8" t="s">
        <v>350</v>
      </c>
      <c r="C63" s="8" t="s">
        <v>350</v>
      </c>
      <c r="D63" s="8" t="s">
        <v>1195</v>
      </c>
      <c r="E63" s="8" t="s">
        <v>1196</v>
      </c>
      <c r="F63" s="8" t="s">
        <v>1197</v>
      </c>
      <c r="G63" s="13" t="s">
        <v>949</v>
      </c>
      <c r="H63" s="14"/>
      <c r="I63" s="13"/>
      <c r="J63" s="13"/>
    </row>
    <row r="64" customFormat="false" ht="15" hidden="false" customHeight="false" outlineLevel="0" collapsed="false">
      <c r="A64" s="12" t="s">
        <v>1198</v>
      </c>
      <c r="B64" s="8" t="s">
        <v>342</v>
      </c>
      <c r="C64" s="8" t="s">
        <v>1033</v>
      </c>
      <c r="D64" s="8" t="s">
        <v>1199</v>
      </c>
      <c r="E64" s="8" t="s">
        <v>1200</v>
      </c>
      <c r="F64" s="8" t="s">
        <v>1201</v>
      </c>
      <c r="G64" s="13" t="s">
        <v>949</v>
      </c>
      <c r="H64" s="14"/>
      <c r="I64" s="13"/>
      <c r="J64" s="13"/>
    </row>
    <row r="65" customFormat="false" ht="15" hidden="false" customHeight="false" outlineLevel="0" collapsed="false">
      <c r="A65" s="12" t="s">
        <v>1202</v>
      </c>
      <c r="B65" s="8" t="s">
        <v>342</v>
      </c>
      <c r="C65" s="8" t="s">
        <v>1033</v>
      </c>
      <c r="D65" s="8" t="s">
        <v>1203</v>
      </c>
      <c r="E65" s="8" t="s">
        <v>1204</v>
      </c>
      <c r="F65" s="8" t="s">
        <v>1205</v>
      </c>
      <c r="G65" s="13" t="s">
        <v>949</v>
      </c>
      <c r="H65" s="14"/>
      <c r="I65" s="13"/>
      <c r="J65" s="13"/>
    </row>
    <row r="66" customFormat="false" ht="15" hidden="false" customHeight="false" outlineLevel="0" collapsed="false">
      <c r="A66" s="12" t="s">
        <v>1206</v>
      </c>
      <c r="B66" s="8" t="s">
        <v>988</v>
      </c>
      <c r="C66" s="8" t="s">
        <v>1207</v>
      </c>
      <c r="D66" s="8" t="s">
        <v>1208</v>
      </c>
      <c r="E66" s="8" t="s">
        <v>1209</v>
      </c>
      <c r="F66" s="8" t="s">
        <v>1210</v>
      </c>
      <c r="G66" s="13" t="s">
        <v>949</v>
      </c>
      <c r="H66" s="14"/>
      <c r="I66" s="13"/>
      <c r="J66" s="13"/>
    </row>
    <row r="67" customFormat="false" ht="15" hidden="false" customHeight="false" outlineLevel="0" collapsed="false">
      <c r="A67" s="12" t="s">
        <v>1211</v>
      </c>
      <c r="B67" s="8" t="s">
        <v>988</v>
      </c>
      <c r="C67" s="8" t="s">
        <v>1207</v>
      </c>
      <c r="D67" s="8" t="s">
        <v>1212</v>
      </c>
      <c r="E67" s="8" t="s">
        <v>1213</v>
      </c>
      <c r="F67" s="8" t="s">
        <v>1214</v>
      </c>
      <c r="G67" s="13" t="s">
        <v>949</v>
      </c>
      <c r="H67" s="14"/>
      <c r="I67" s="13"/>
      <c r="J67" s="13"/>
    </row>
    <row r="68" customFormat="false" ht="15" hidden="false" customHeight="false" outlineLevel="0" collapsed="false">
      <c r="A68" s="12" t="s">
        <v>1215</v>
      </c>
      <c r="B68" s="8" t="s">
        <v>988</v>
      </c>
      <c r="C68" s="8" t="s">
        <v>1207</v>
      </c>
      <c r="D68" s="8" t="s">
        <v>1216</v>
      </c>
      <c r="E68" s="8" t="s">
        <v>1217</v>
      </c>
      <c r="F68" s="8" t="s">
        <v>1218</v>
      </c>
      <c r="G68" s="13" t="s">
        <v>949</v>
      </c>
      <c r="H68" s="14"/>
      <c r="I68" s="13"/>
      <c r="J68" s="13"/>
    </row>
    <row r="69" customFormat="false" ht="15" hidden="false" customHeight="false" outlineLevel="0" collapsed="false">
      <c r="A69" s="12" t="s">
        <v>1219</v>
      </c>
      <c r="B69" s="8" t="s">
        <v>988</v>
      </c>
      <c r="C69" s="8" t="s">
        <v>1207</v>
      </c>
      <c r="D69" s="8" t="s">
        <v>1220</v>
      </c>
      <c r="E69" s="8" t="s">
        <v>1221</v>
      </c>
      <c r="F69" s="8" t="s">
        <v>1222</v>
      </c>
      <c r="G69" s="13" t="s">
        <v>949</v>
      </c>
      <c r="H69" s="14"/>
      <c r="I69" s="13"/>
      <c r="J69" s="13"/>
    </row>
    <row r="70" customFormat="false" ht="22.35" hidden="false" customHeight="false" outlineLevel="0" collapsed="false">
      <c r="A70" s="12" t="s">
        <v>1223</v>
      </c>
      <c r="B70" s="8" t="s">
        <v>993</v>
      </c>
      <c r="C70" s="8" t="s">
        <v>189</v>
      </c>
      <c r="D70" s="8" t="s">
        <v>1224</v>
      </c>
      <c r="E70" s="8" t="s">
        <v>1225</v>
      </c>
      <c r="F70" s="8" t="s">
        <v>1226</v>
      </c>
      <c r="G70" s="13" t="s">
        <v>949</v>
      </c>
      <c r="H70" s="14"/>
      <c r="I70" s="13"/>
      <c r="J70" s="13"/>
    </row>
    <row r="71" customFormat="false" ht="15" hidden="false" customHeight="false" outlineLevel="0" collapsed="false">
      <c r="A71" s="12" t="s">
        <v>1227</v>
      </c>
      <c r="B71" s="8" t="s">
        <v>993</v>
      </c>
      <c r="C71" s="8" t="s">
        <v>189</v>
      </c>
      <c r="D71" s="8" t="s">
        <v>1228</v>
      </c>
      <c r="E71" s="8" t="s">
        <v>1229</v>
      </c>
      <c r="F71" s="8" t="s">
        <v>1230</v>
      </c>
      <c r="G71" s="13" t="s">
        <v>949</v>
      </c>
      <c r="H71" s="14"/>
      <c r="I71" s="13"/>
      <c r="J71" s="13"/>
    </row>
    <row r="72" customFormat="false" ht="22.35" hidden="false" customHeight="false" outlineLevel="0" collapsed="false">
      <c r="A72" s="12" t="s">
        <v>1231</v>
      </c>
      <c r="B72" s="8" t="s">
        <v>975</v>
      </c>
      <c r="C72" s="8" t="s">
        <v>1071</v>
      </c>
      <c r="D72" s="8" t="s">
        <v>1232</v>
      </c>
      <c r="E72" s="8" t="s">
        <v>1233</v>
      </c>
      <c r="F72" s="8" t="s">
        <v>1234</v>
      </c>
      <c r="G72" s="13" t="s">
        <v>949</v>
      </c>
      <c r="H72" s="14"/>
      <c r="I72" s="13"/>
      <c r="J72" s="13"/>
    </row>
    <row r="73" customFormat="false" ht="22.35" hidden="false" customHeight="false" outlineLevel="0" collapsed="false">
      <c r="A73" s="12" t="s">
        <v>1235</v>
      </c>
      <c r="B73" s="8" t="s">
        <v>975</v>
      </c>
      <c r="C73" s="8" t="s">
        <v>1071</v>
      </c>
      <c r="D73" s="8" t="s">
        <v>1236</v>
      </c>
      <c r="E73" s="8" t="s">
        <v>1237</v>
      </c>
      <c r="F73" s="8" t="s">
        <v>1238</v>
      </c>
      <c r="G73" s="13" t="s">
        <v>949</v>
      </c>
      <c r="H73" s="14"/>
      <c r="I73" s="13"/>
      <c r="J73" s="13"/>
    </row>
    <row r="74" customFormat="false" ht="22.35" hidden="false" customHeight="false" outlineLevel="0" collapsed="false">
      <c r="A74" s="12" t="s">
        <v>1239</v>
      </c>
      <c r="B74" s="8" t="s">
        <v>350</v>
      </c>
      <c r="C74" s="8" t="s">
        <v>350</v>
      </c>
      <c r="D74" s="8" t="s">
        <v>1240</v>
      </c>
      <c r="E74" s="8" t="s">
        <v>1241</v>
      </c>
      <c r="F74" s="8" t="s">
        <v>1242</v>
      </c>
      <c r="G74" s="13" t="s">
        <v>949</v>
      </c>
      <c r="H74" s="14"/>
      <c r="I74" s="13"/>
      <c r="J74" s="13"/>
    </row>
    <row r="75" customFormat="false" ht="22.35" hidden="false" customHeight="false" outlineLevel="0" collapsed="false">
      <c r="A75" s="12" t="s">
        <v>1243</v>
      </c>
      <c r="B75" s="8" t="s">
        <v>350</v>
      </c>
      <c r="C75" s="8" t="s">
        <v>350</v>
      </c>
      <c r="D75" s="8" t="s">
        <v>1244</v>
      </c>
      <c r="E75" s="8" t="s">
        <v>1245</v>
      </c>
      <c r="F75" s="8" t="s">
        <v>1246</v>
      </c>
      <c r="G75" s="13" t="s">
        <v>949</v>
      </c>
      <c r="H75" s="14"/>
      <c r="I75" s="13"/>
      <c r="J75" s="13"/>
    </row>
    <row r="76" customFormat="false" ht="22.35" hidden="false" customHeight="false" outlineLevel="0" collapsed="false">
      <c r="A76" s="12" t="s">
        <v>1247</v>
      </c>
      <c r="B76" s="8" t="s">
        <v>350</v>
      </c>
      <c r="C76" s="8" t="s">
        <v>350</v>
      </c>
      <c r="D76" s="8" t="s">
        <v>1248</v>
      </c>
      <c r="E76" s="8" t="s">
        <v>1249</v>
      </c>
      <c r="F76" s="8" t="s">
        <v>1250</v>
      </c>
      <c r="G76" s="13" t="s">
        <v>949</v>
      </c>
      <c r="H76" s="14"/>
      <c r="I76" s="13"/>
      <c r="J76" s="13"/>
    </row>
    <row r="77" customFormat="false" ht="15" hidden="false" customHeight="false" outlineLevel="0" collapsed="false">
      <c r="A77" s="13"/>
      <c r="B77" s="13"/>
      <c r="C77" s="13"/>
      <c r="D77" s="13"/>
      <c r="E77" s="13"/>
      <c r="F77" s="13"/>
      <c r="G77" s="13"/>
      <c r="H77" s="57"/>
      <c r="I77" s="13"/>
      <c r="J77" s="13"/>
    </row>
    <row r="78" customFormat="false" ht="15" hidden="false" customHeight="false" outlineLevel="0" collapsed="false">
      <c r="A78" s="13"/>
      <c r="B78" s="13"/>
      <c r="C78" s="13"/>
      <c r="D78" s="13"/>
      <c r="E78" s="13"/>
      <c r="F78" s="13"/>
      <c r="G78" s="13"/>
      <c r="H78" s="57"/>
      <c r="I78" s="13"/>
      <c r="J78" s="13"/>
    </row>
    <row r="79" customFormat="false" ht="15" hidden="false" customHeight="false" outlineLevel="0" collapsed="false">
      <c r="A79" s="13"/>
      <c r="B79" s="13"/>
      <c r="C79" s="13"/>
      <c r="D79" s="13"/>
      <c r="E79" s="13"/>
      <c r="F79" s="13"/>
      <c r="G79" s="13"/>
      <c r="H79" s="57"/>
      <c r="I79" s="13"/>
      <c r="J79" s="13"/>
    </row>
    <row r="80" customFormat="false" ht="15" hidden="false" customHeight="false" outlineLevel="0" collapsed="false">
      <c r="A80" s="13"/>
      <c r="B80" s="13"/>
      <c r="C80" s="13"/>
      <c r="D80" s="13"/>
      <c r="E80" s="13"/>
      <c r="F80" s="13"/>
      <c r="G80" s="13"/>
      <c r="H80" s="57"/>
      <c r="I80" s="13"/>
      <c r="J80" s="13"/>
    </row>
    <row r="81" customFormat="false" ht="15" hidden="false" customHeight="false" outlineLevel="0" collapsed="false">
      <c r="A81" s="13"/>
      <c r="B81" s="13"/>
      <c r="C81" s="13"/>
      <c r="D81" s="13"/>
      <c r="E81" s="13"/>
      <c r="F81" s="13"/>
      <c r="G81" s="13"/>
      <c r="H81" s="57"/>
      <c r="I81" s="13"/>
      <c r="J81" s="13"/>
    </row>
    <row r="82" customFormat="false" ht="15" hidden="false" customHeight="false" outlineLevel="0" collapsed="false">
      <c r="A82" s="13"/>
      <c r="B82" s="13"/>
      <c r="C82" s="13"/>
      <c r="D82" s="13"/>
      <c r="E82" s="13"/>
      <c r="F82" s="13"/>
      <c r="G82" s="13"/>
      <c r="H82" s="57"/>
      <c r="I82" s="13"/>
      <c r="J82" s="13"/>
    </row>
    <row r="83" customFormat="false" ht="15" hidden="false" customHeight="false" outlineLevel="0" collapsed="false">
      <c r="A83" s="13"/>
      <c r="B83" s="13"/>
      <c r="C83" s="13"/>
      <c r="D83" s="13"/>
      <c r="E83" s="13"/>
      <c r="F83" s="13"/>
      <c r="G83" s="13"/>
      <c r="H83" s="57"/>
      <c r="I83" s="13"/>
      <c r="J83" s="13"/>
    </row>
    <row r="84" customFormat="false" ht="15" hidden="false" customHeight="false" outlineLevel="0" collapsed="false">
      <c r="A84" s="13"/>
      <c r="B84" s="13"/>
      <c r="C84" s="13"/>
      <c r="D84" s="13"/>
      <c r="E84" s="13"/>
      <c r="F84" s="13"/>
      <c r="G84" s="13"/>
      <c r="H84" s="57"/>
      <c r="I84" s="13"/>
      <c r="J84" s="13"/>
    </row>
    <row r="85" customFormat="false" ht="15" hidden="false" customHeight="false" outlineLevel="0" collapsed="false">
      <c r="A85" s="13"/>
      <c r="B85" s="13"/>
      <c r="C85" s="13"/>
      <c r="D85" s="13"/>
      <c r="E85" s="13"/>
      <c r="F85" s="13"/>
      <c r="G85" s="13"/>
      <c r="H85" s="57"/>
      <c r="I85" s="13"/>
      <c r="J85" s="13"/>
    </row>
    <row r="86" customFormat="false" ht="15" hidden="false" customHeight="false" outlineLevel="0" collapsed="false">
      <c r="A86" s="13"/>
      <c r="B86" s="13"/>
      <c r="C86" s="13"/>
      <c r="D86" s="13"/>
      <c r="E86" s="13"/>
      <c r="F86" s="13"/>
      <c r="G86" s="13"/>
      <c r="H86" s="57"/>
      <c r="I86" s="13"/>
      <c r="J86" s="13"/>
    </row>
  </sheetData>
  <dataValidations count="2">
    <dataValidation allowBlank="true" errorStyle="stop" operator="between" showDropDown="false" showErrorMessage="false" showInputMessage="false" sqref="G6:G106" type="list">
      <formula1>"Not run,Pass,Fail,Pass after retest,N/A"</formula1>
      <formula2>0</formula2>
    </dataValidation>
    <dataValidation type="date" operator="greaterThanOrEqual" allowBlank="true" showDropDown="false" showInputMessage="true" showErrorMessage="true" errorTitle="Enter a date" error="Enter a real date (yyyy-mm-dd), not text. Formulas that use this date fail silently on text." sqref="H6:H86">
      <formula1>1</formula1>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S13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4" ySplit="17" topLeftCell="E18" activePane="bottomRight" state="frozen"/>
      <selection pane="topLeft" activeCell="A1" activeCellId="0" sqref="A1"/>
      <selection pane="topRight" activeCell="E1" activeCellId="0" sqref="E1"/>
      <selection pane="bottomLeft" activeCell="A18" activeCellId="0" sqref="A18"/>
      <selection pane="bottomRight" activeCell="A1" activeCellId="0" sqref="A1"/>
    </sheetView>
  </sheetViews>
  <sheetFormatPr defaultColWidth="8.6796875" defaultRowHeight="15" zeroHeight="false" outlineLevelRow="0" outlineLevelCol="0"/>
  <cols>
    <col collapsed="false" customWidth="true" hidden="false" outlineLevel="0" max="1" min="1" style="0" width="14"/>
    <col collapsed="false" customWidth="true" hidden="false" outlineLevel="0" max="2" min="2" style="0" width="12"/>
    <col collapsed="false" customWidth="true" hidden="false" outlineLevel="0" max="3" min="3" style="0" width="9"/>
    <col collapsed="false" customWidth="true" hidden="false" outlineLevel="0" max="4" min="4" style="0" width="11"/>
    <col collapsed="false" customWidth="true" hidden="false" outlineLevel="0" max="5" min="5" style="0" width="38"/>
    <col collapsed="false" customWidth="true" hidden="false" outlineLevel="0" max="6" min="6" style="0" width="11"/>
    <col collapsed="false" customWidth="true" hidden="false" outlineLevel="0" max="7" min="7" style="0" width="20"/>
    <col collapsed="false" customWidth="true" hidden="false" outlineLevel="0" max="8" min="8" style="0" width="22"/>
    <col collapsed="false" customWidth="true" hidden="false" outlineLevel="0" max="9" min="9" style="0" width="24"/>
    <col collapsed="false" customWidth="true" hidden="false" outlineLevel="0" max="10" min="10" style="0" width="12"/>
    <col collapsed="false" customWidth="true" hidden="false" outlineLevel="0" max="11" min="11" style="0" width="13"/>
    <col collapsed="false" customWidth="true" hidden="false" outlineLevel="0" max="12" min="12" style="0" width="12"/>
    <col collapsed="false" customWidth="true" hidden="false" outlineLevel="0" max="13" min="13" style="0" width="13"/>
    <col collapsed="false" customWidth="true" hidden="false" outlineLevel="0" max="14" min="14" style="0" width="12"/>
    <col collapsed="false" customWidth="true" hidden="false" outlineLevel="0" max="15" min="15" style="0" width="11"/>
    <col collapsed="false" customWidth="true" hidden="false" outlineLevel="0" max="16" min="16" style="0" width="14"/>
  </cols>
  <sheetData>
    <row r="1" customFormat="false" ht="17.35" hidden="false" customHeight="false" outlineLevel="0" collapsed="false">
      <c r="A1" s="10" t="s">
        <v>1251</v>
      </c>
    </row>
    <row r="2" customFormat="false" ht="15" hidden="false" customHeight="false" outlineLevel="0" collapsed="false">
      <c r="A2" s="11" t="s">
        <v>1252</v>
      </c>
    </row>
    <row r="3" customFormat="false" ht="15" hidden="false" customHeight="false" outlineLevel="0" collapsed="false">
      <c r="A3" s="9" t="s">
        <v>134</v>
      </c>
    </row>
    <row r="5" customFormat="false" ht="30" hidden="false" customHeight="true" outlineLevel="0" collapsed="false">
      <c r="A5" s="6" t="s">
        <v>1253</v>
      </c>
      <c r="B5" s="6" t="s">
        <v>1254</v>
      </c>
      <c r="C5" s="6" t="s">
        <v>257</v>
      </c>
      <c r="H5" s="12" t="s">
        <v>1255</v>
      </c>
      <c r="K5" s="46" t="s">
        <v>1256</v>
      </c>
      <c r="L5" s="46" t="s">
        <v>1257</v>
      </c>
      <c r="R5" s="6" t="inlineStr">
        <is>
          <t xml:space="preserve">Functional scale (lookup)</t>
        </is>
      </c>
      <c r="S5" s="6" t="inlineStr">
        <is>
          <t xml:space="preserve">Security scale (lookup)</t>
        </is>
      </c>
    </row>
    <row r="6" customFormat="false" ht="95.5" hidden="false" customHeight="false" outlineLevel="0" collapsed="false">
      <c r="A6" s="12" t="s">
        <v>1258</v>
      </c>
      <c r="B6" s="17" t="s">
        <v>1259</v>
      </c>
      <c r="C6" s="8" t="s">
        <v>1260</v>
      </c>
      <c r="H6" s="12" t="s">
        <v>1259</v>
      </c>
      <c r="I6" s="13" t="n">
        <v>15</v>
      </c>
      <c r="K6" s="12" t="s">
        <v>1261</v>
      </c>
      <c r="L6" s="17" t="n">
        <f aca="false">COUNTIFS(D18:D137,"Functional",F18:F137,"Critical",M18:M137,"&lt;&gt;Closed")+COUNTIFS(D18:D137,"Functional",F18:F137,"Major",M18:M137,"&lt;&gt;Closed")</f>
        <v>0</v>
      </c>
      <c r="R6" s="12" t="inlineStr">
        <is>
          <t xml:space="preserve">Critical</t>
        </is>
      </c>
      <c r="S6" s="12" t="inlineStr">
        <is>
          <t xml:space="preserve">Critical</t>
        </is>
      </c>
    </row>
    <row r="7" customFormat="false" ht="64.15" hidden="false" customHeight="false" outlineLevel="0" collapsed="false">
      <c r="A7" s="12" t="s">
        <v>1258</v>
      </c>
      <c r="B7" s="17" t="s">
        <v>1262</v>
      </c>
      <c r="C7" s="8" t="s">
        <v>1263</v>
      </c>
      <c r="H7" s="12" t="s">
        <v>480</v>
      </c>
      <c r="I7" s="13" t="n">
        <v>30</v>
      </c>
      <c r="K7" s="12" t="s">
        <v>1264</v>
      </c>
      <c r="L7" s="17" t="n">
        <f aca="false">COUNTIFS(D18:D137,"Security",F18:F137,"Critical",M18:M137,"&lt;&gt;Closed")</f>
        <v>0</v>
      </c>
      <c r="R7" s="12" t="inlineStr">
        <is>
          <t xml:space="preserve">Major</t>
        </is>
      </c>
      <c r="S7" s="12" t="inlineStr">
        <is>
          <t xml:space="preserve">High</t>
        </is>
      </c>
    </row>
    <row r="8" customFormat="false" ht="74.6" hidden="false" customHeight="false" outlineLevel="0" collapsed="false">
      <c r="A8" s="12" t="s">
        <v>1258</v>
      </c>
      <c r="B8" s="17" t="s">
        <v>1265</v>
      </c>
      <c r="C8" s="8" t="s">
        <v>1266</v>
      </c>
      <c r="H8" s="12" t="s">
        <v>1267</v>
      </c>
      <c r="I8" s="13" t="n">
        <v>90</v>
      </c>
      <c r="K8" s="12" t="s">
        <v>1268</v>
      </c>
      <c r="L8" s="17" t="n">
        <f aca="false">COUNTIFS(D18:D137,"Security",F18:F137,"High",M18:M137,"&lt;&gt;Closed",P18:P137,"OVERDUE")+COUNTIFS(D18:D137,"Security",F18:F137,"High",M18:M137,"&lt;&gt;Closed",P18:P137,"Within deadline",L18:L137,"&lt;&gt;Y")</f>
        <v>0</v>
      </c>
      <c r="R8" s="12" t="inlineStr">
        <is>
          <t xml:space="preserve">Minor</t>
        </is>
      </c>
      <c r="S8" s="12" t="inlineStr">
        <is>
          <t xml:space="preserve">Medium</t>
        </is>
      </c>
    </row>
    <row r="9" customFormat="false" ht="43.25" hidden="false" customHeight="false" outlineLevel="0" collapsed="false">
      <c r="A9" s="12" t="s">
        <v>1258</v>
      </c>
      <c r="B9" s="17" t="s">
        <v>1269</v>
      </c>
      <c r="C9" s="8" t="s">
        <v>1270</v>
      </c>
      <c r="H9" s="12" t="s">
        <v>1271</v>
      </c>
      <c r="I9" s="14" t="n">
        <f aca="true">TODAY()</f>
        <v>46287</v>
      </c>
      <c r="K9" s="12" t="s">
        <v>1272</v>
      </c>
      <c r="L9" s="17" t="n">
        <f aca="false">COUNTIFS(D18:D137,"Security",F18:F137,"Critical",P18:P137,"OVERDUE")+COUNTIFS(D18:D137,"Security",F18:F137,"High",P18:P137,"OVERDUE")</f>
        <v>0</v>
      </c>
      <c r="R9" s="12" t="inlineStr">
        <is>
          <t xml:space="preserve">Cosmetic</t>
        </is>
      </c>
      <c r="S9" s="12" t="inlineStr">
        <is>
          <t xml:space="preserve">Low</t>
        </is>
      </c>
    </row>
    <row r="10" customFormat="false" ht="116.4" hidden="false" customHeight="false" outlineLevel="0" collapsed="false">
      <c r="A10" s="12" t="s">
        <v>350</v>
      </c>
      <c r="B10" s="17" t="s">
        <v>1273</v>
      </c>
      <c r="C10" s="8" t="s">
        <v>1274</v>
      </c>
      <c r="K10" s="12" t="s">
        <v>1275</v>
      </c>
      <c r="L10" s="17" t="str">
        <f aca="false">IF(COUNTA(A18:A137)=0,"No entries: confirm P5 tests have been run",IF(L6+L7+L8=0,"MET","NOT MET"))</f>
        <v>No entries: confirm P5 tests have been run</v>
      </c>
    </row>
    <row r="11" customFormat="false" ht="22.35" hidden="false" customHeight="false" outlineLevel="0" collapsed="false">
      <c r="K11" s="12" t="s">
        <v>1276</v>
      </c>
      <c r="L11" s="17" t="str">
        <f aca="false">IF(L9=0,"MET","NOT MET: pause trigger (Protocol 10.6)")</f>
        <v>MET</v>
      </c>
    </row>
    <row r="12">
      <c r="K12" s="12" t="inlineStr">
        <is>
          <t xml:space="preserve">Rows whose severity is outside the Type’s scale (must be 0)</t>
        </is>
      </c>
      <c r="L12" s="12">
        <f>SUMPRODUCT(($D$18:$D$137="Functional")*ISNUMBER(MATCH($F$18:$F$137,$S$6:$S$9,0))*($F$18:$F$137&lt;&gt;"Critical"))+SUMPRODUCT(($D$18:$D$137="Security")*ISNUMBER(MATCH($F$18:$F$137,$R$6:$R$9,0))*($F$18:$F$137&lt;&gt;"Critical"))</f>
      </c>
    </row>
    <row r="13" customFormat="false" ht="15" hidden="false" customHeight="false" outlineLevel="0" collapsed="false">
      <c r="A13" s="9" t="s">
        <v>1277</v>
      </c>
    </row>
    <row r="14" customFormat="false" ht="15" hidden="false" customHeight="false" outlineLevel="0" collapsed="false">
      <c r="A14" s="9" t="s">
        <v>1278</v>
      </c>
    </row>
    <row r="16" customFormat="false" ht="30" hidden="false" customHeight="true" outlineLevel="0" collapsed="false">
      <c r="A16" s="6" t="s">
        <v>474</v>
      </c>
      <c r="B16" s="6" t="s">
        <v>1279</v>
      </c>
      <c r="C16" s="6" t="s">
        <v>938</v>
      </c>
      <c r="D16" s="6" t="s">
        <v>401</v>
      </c>
      <c r="E16" s="6" t="s">
        <v>465</v>
      </c>
      <c r="F16" s="6" t="s">
        <v>1254</v>
      </c>
      <c r="G16" s="6" t="s">
        <v>1280</v>
      </c>
      <c r="H16" s="6" t="s">
        <v>1281</v>
      </c>
      <c r="I16" s="6" t="s">
        <v>140</v>
      </c>
      <c r="J16" s="6" t="s">
        <v>1282</v>
      </c>
      <c r="K16" s="6" t="s">
        <v>1283</v>
      </c>
      <c r="L16" s="6" t="s">
        <v>1284</v>
      </c>
      <c r="M16" s="6" t="s">
        <v>861</v>
      </c>
      <c r="N16" s="6" t="s">
        <v>1285</v>
      </c>
      <c r="O16" s="6" t="s">
        <v>1286</v>
      </c>
      <c r="P16" s="6" t="s">
        <v>1287</v>
      </c>
    </row>
    <row r="17" customFormat="false" ht="22.35" hidden="false" customHeight="false" outlineLevel="0" collapsed="false">
      <c r="A17" s="42" t="s">
        <v>1288</v>
      </c>
      <c r="B17" s="58"/>
      <c r="C17" s="42" t="s">
        <v>1049</v>
      </c>
      <c r="D17" s="42" t="s">
        <v>1258</v>
      </c>
      <c r="E17" s="42" t="s">
        <v>1289</v>
      </c>
      <c r="F17" s="42" t="s">
        <v>1262</v>
      </c>
      <c r="G17" s="42" t="s">
        <v>1290</v>
      </c>
      <c r="H17" s="42" t="s">
        <v>1291</v>
      </c>
      <c r="I17" s="42" t="s">
        <v>1292</v>
      </c>
      <c r="J17" s="58"/>
      <c r="K17" s="42"/>
      <c r="L17" s="42"/>
      <c r="M17" s="42" t="s">
        <v>1293</v>
      </c>
      <c r="N17" s="42"/>
      <c r="O17" s="58"/>
      <c r="P17" s="42"/>
    </row>
    <row r="18" customFormat="false" ht="15" hidden="false" customHeight="false" outlineLevel="0" collapsed="false">
      <c r="A18" s="13"/>
      <c r="B18" s="14"/>
      <c r="C18" s="13"/>
      <c r="D18" s="13"/>
      <c r="E18" s="13"/>
      <c r="F18" s="13"/>
      <c r="G18" s="13"/>
      <c r="H18" s="13"/>
      <c r="I18" s="13"/>
      <c r="J18" s="14"/>
      <c r="K18" s="47" t="str">
        <f aca="false">IF(OR(B18="",D18&lt;&gt;"Security"),"",IF(F18="Critical",B18+$I$6,IF(F18="High",B18+$I$7,IF(F18="Medium",B18+$I$8,""))))</f>
        <v/>
      </c>
      <c r="L18" s="13"/>
      <c r="M18" s="13"/>
      <c r="N18" s="13"/>
      <c r="O18" s="14"/>
      <c r="P18" s="17" t="str">
        <f aca="false">IF(OR(D18&lt;&gt;"Security",M18="Closed",NOT(ISNUMBER(K18))),"",IF($I$9&gt;K18,"OVERDUE","Within deadline"))</f>
        <v/>
      </c>
    </row>
    <row r="19" customFormat="false" ht="15" hidden="false" customHeight="false" outlineLevel="0" collapsed="false">
      <c r="A19" s="13"/>
      <c r="B19" s="14"/>
      <c r="C19" s="13"/>
      <c r="D19" s="13"/>
      <c r="E19" s="13"/>
      <c r="F19" s="13"/>
      <c r="G19" s="13"/>
      <c r="H19" s="13"/>
      <c r="I19" s="13"/>
      <c r="J19" s="14"/>
      <c r="K19" s="47" t="str">
        <f aca="false">IF(OR(B19="",D19&lt;&gt;"Security"),"",IF(F19="Critical",B19+$I$6,IF(F19="High",B19+$I$7,IF(F19="Medium",B19+$I$8,""))))</f>
        <v/>
      </c>
      <c r="L19" s="13"/>
      <c r="M19" s="13"/>
      <c r="N19" s="13"/>
      <c r="O19" s="14"/>
      <c r="P19" s="17" t="str">
        <f aca="false">IF(OR(D19&lt;&gt;"Security",M19="Closed",NOT(ISNUMBER(K19))),"",IF($I$9&gt;K19,"OVERDUE","Within deadline"))</f>
        <v/>
      </c>
    </row>
    <row r="20" customFormat="false" ht="15" hidden="false" customHeight="false" outlineLevel="0" collapsed="false">
      <c r="A20" s="13"/>
      <c r="B20" s="14"/>
      <c r="C20" s="13"/>
      <c r="D20" s="13"/>
      <c r="E20" s="13"/>
      <c r="F20" s="13"/>
      <c r="G20" s="13"/>
      <c r="H20" s="13"/>
      <c r="I20" s="13"/>
      <c r="J20" s="14"/>
      <c r="K20" s="47" t="str">
        <f aca="false">IF(OR(B20="",D20&lt;&gt;"Security"),"",IF(F20="Critical",B20+$I$6,IF(F20="High",B20+$I$7,IF(F20="Medium",B20+$I$8,""))))</f>
        <v/>
      </c>
      <c r="L20" s="13"/>
      <c r="M20" s="13"/>
      <c r="N20" s="13"/>
      <c r="O20" s="14"/>
      <c r="P20" s="17" t="str">
        <f aca="false">IF(OR(D20&lt;&gt;"Security",M20="Closed",NOT(ISNUMBER(K20))),"",IF($I$9&gt;K20,"OVERDUE","Within deadline"))</f>
        <v/>
      </c>
    </row>
    <row r="21" customFormat="false" ht="15" hidden="false" customHeight="false" outlineLevel="0" collapsed="false">
      <c r="A21" s="13"/>
      <c r="B21" s="14"/>
      <c r="C21" s="13"/>
      <c r="D21" s="13"/>
      <c r="E21" s="13"/>
      <c r="F21" s="13"/>
      <c r="G21" s="13"/>
      <c r="H21" s="13"/>
      <c r="I21" s="13"/>
      <c r="J21" s="14"/>
      <c r="K21" s="47" t="str">
        <f aca="false">IF(OR(B21="",D21&lt;&gt;"Security"),"",IF(F21="Critical",B21+$I$6,IF(F21="High",B21+$I$7,IF(F21="Medium",B21+$I$8,""))))</f>
        <v/>
      </c>
      <c r="L21" s="13"/>
      <c r="M21" s="13"/>
      <c r="N21" s="13"/>
      <c r="O21" s="14"/>
      <c r="P21" s="17" t="str">
        <f aca="false">IF(OR(D21&lt;&gt;"Security",M21="Closed",NOT(ISNUMBER(K21))),"",IF($I$9&gt;K21,"OVERDUE","Within deadline"))</f>
        <v/>
      </c>
    </row>
    <row r="22" customFormat="false" ht="15" hidden="false" customHeight="false" outlineLevel="0" collapsed="false">
      <c r="A22" s="13"/>
      <c r="B22" s="14"/>
      <c r="C22" s="13"/>
      <c r="D22" s="13"/>
      <c r="E22" s="13"/>
      <c r="F22" s="13"/>
      <c r="G22" s="13"/>
      <c r="H22" s="13"/>
      <c r="I22" s="13"/>
      <c r="J22" s="14"/>
      <c r="K22" s="47" t="str">
        <f aca="false">IF(OR(B22="",D22&lt;&gt;"Security"),"",IF(F22="Critical",B22+$I$6,IF(F22="High",B22+$I$7,IF(F22="Medium",B22+$I$8,""))))</f>
        <v/>
      </c>
      <c r="L22" s="13"/>
      <c r="M22" s="13"/>
      <c r="N22" s="13"/>
      <c r="O22" s="14"/>
      <c r="P22" s="17" t="str">
        <f aca="false">IF(OR(D22&lt;&gt;"Security",M22="Closed",NOT(ISNUMBER(K22))),"",IF($I$9&gt;K22,"OVERDUE","Within deadline"))</f>
        <v/>
      </c>
    </row>
    <row r="23" customFormat="false" ht="15" hidden="false" customHeight="false" outlineLevel="0" collapsed="false">
      <c r="A23" s="13"/>
      <c r="B23" s="14"/>
      <c r="C23" s="13"/>
      <c r="D23" s="13"/>
      <c r="E23" s="13"/>
      <c r="F23" s="13"/>
      <c r="G23" s="13"/>
      <c r="H23" s="13"/>
      <c r="I23" s="13"/>
      <c r="J23" s="14"/>
      <c r="K23" s="47" t="str">
        <f aca="false">IF(OR(B23="",D23&lt;&gt;"Security"),"",IF(F23="Critical",B23+$I$6,IF(F23="High",B23+$I$7,IF(F23="Medium",B23+$I$8,""))))</f>
        <v/>
      </c>
      <c r="L23" s="13"/>
      <c r="M23" s="13"/>
      <c r="N23" s="13"/>
      <c r="O23" s="14"/>
      <c r="P23" s="17" t="str">
        <f aca="false">IF(OR(D23&lt;&gt;"Security",M23="Closed",NOT(ISNUMBER(K23))),"",IF($I$9&gt;K23,"OVERDUE","Within deadline"))</f>
        <v/>
      </c>
    </row>
    <row r="24" customFormat="false" ht="15" hidden="false" customHeight="false" outlineLevel="0" collapsed="false">
      <c r="A24" s="13"/>
      <c r="B24" s="14"/>
      <c r="C24" s="13"/>
      <c r="D24" s="13"/>
      <c r="E24" s="13"/>
      <c r="F24" s="13"/>
      <c r="G24" s="13"/>
      <c r="H24" s="13"/>
      <c r="I24" s="13"/>
      <c r="J24" s="14"/>
      <c r="K24" s="47" t="str">
        <f aca="false">IF(OR(B24="",D24&lt;&gt;"Security"),"",IF(F24="Critical",B24+$I$6,IF(F24="High",B24+$I$7,IF(F24="Medium",B24+$I$8,""))))</f>
        <v/>
      </c>
      <c r="L24" s="13"/>
      <c r="M24" s="13"/>
      <c r="N24" s="13"/>
      <c r="O24" s="14"/>
      <c r="P24" s="17" t="str">
        <f aca="false">IF(OR(D24&lt;&gt;"Security",M24="Closed",NOT(ISNUMBER(K24))),"",IF($I$9&gt;K24,"OVERDUE","Within deadline"))</f>
        <v/>
      </c>
    </row>
    <row r="25" customFormat="false" ht="15" hidden="false" customHeight="false" outlineLevel="0" collapsed="false">
      <c r="A25" s="13"/>
      <c r="B25" s="14"/>
      <c r="C25" s="13"/>
      <c r="D25" s="13"/>
      <c r="E25" s="13"/>
      <c r="F25" s="13"/>
      <c r="G25" s="13"/>
      <c r="H25" s="13"/>
      <c r="I25" s="13"/>
      <c r="J25" s="14"/>
      <c r="K25" s="47" t="str">
        <f aca="false">IF(OR(B25="",D25&lt;&gt;"Security"),"",IF(F25="Critical",B25+$I$6,IF(F25="High",B25+$I$7,IF(F25="Medium",B25+$I$8,""))))</f>
        <v/>
      </c>
      <c r="L25" s="13"/>
      <c r="M25" s="13"/>
      <c r="N25" s="13"/>
      <c r="O25" s="14"/>
      <c r="P25" s="17" t="str">
        <f aca="false">IF(OR(D25&lt;&gt;"Security",M25="Closed",NOT(ISNUMBER(K25))),"",IF($I$9&gt;K25,"OVERDUE","Within deadline"))</f>
        <v/>
      </c>
    </row>
    <row r="26" customFormat="false" ht="15" hidden="false" customHeight="false" outlineLevel="0" collapsed="false">
      <c r="A26" s="13"/>
      <c r="B26" s="14"/>
      <c r="C26" s="13"/>
      <c r="D26" s="13"/>
      <c r="E26" s="13"/>
      <c r="F26" s="13"/>
      <c r="G26" s="13"/>
      <c r="H26" s="13"/>
      <c r="I26" s="13"/>
      <c r="J26" s="14"/>
      <c r="K26" s="47" t="str">
        <f aca="false">IF(OR(B26="",D26&lt;&gt;"Security"),"",IF(F26="Critical",B26+$I$6,IF(F26="High",B26+$I$7,IF(F26="Medium",B26+$I$8,""))))</f>
        <v/>
      </c>
      <c r="L26" s="13"/>
      <c r="M26" s="13"/>
      <c r="N26" s="13"/>
      <c r="O26" s="14"/>
      <c r="P26" s="17" t="str">
        <f aca="false">IF(OR(D26&lt;&gt;"Security",M26="Closed",NOT(ISNUMBER(K26))),"",IF($I$9&gt;K26,"OVERDUE","Within deadline"))</f>
        <v/>
      </c>
    </row>
    <row r="27" customFormat="false" ht="15" hidden="false" customHeight="false" outlineLevel="0" collapsed="false">
      <c r="A27" s="13"/>
      <c r="B27" s="14"/>
      <c r="C27" s="13"/>
      <c r="D27" s="13"/>
      <c r="E27" s="13"/>
      <c r="F27" s="13"/>
      <c r="G27" s="13"/>
      <c r="H27" s="13"/>
      <c r="I27" s="13"/>
      <c r="J27" s="14"/>
      <c r="K27" s="47" t="str">
        <f aca="false">IF(OR(B27="",D27&lt;&gt;"Security"),"",IF(F27="Critical",B27+$I$6,IF(F27="High",B27+$I$7,IF(F27="Medium",B27+$I$8,""))))</f>
        <v/>
      </c>
      <c r="L27" s="13"/>
      <c r="M27" s="13"/>
      <c r="N27" s="13"/>
      <c r="O27" s="14"/>
      <c r="P27" s="17" t="str">
        <f aca="false">IF(OR(D27&lt;&gt;"Security",M27="Closed",NOT(ISNUMBER(K27))),"",IF($I$9&gt;K27,"OVERDUE","Within deadline"))</f>
        <v/>
      </c>
    </row>
    <row r="28" customFormat="false" ht="15" hidden="false" customHeight="false" outlineLevel="0" collapsed="false">
      <c r="A28" s="13"/>
      <c r="B28" s="14"/>
      <c r="C28" s="13"/>
      <c r="D28" s="13"/>
      <c r="E28" s="13"/>
      <c r="F28" s="13"/>
      <c r="G28" s="13"/>
      <c r="H28" s="13"/>
      <c r="I28" s="13"/>
      <c r="J28" s="14"/>
      <c r="K28" s="47" t="str">
        <f aca="false">IF(OR(B28="",D28&lt;&gt;"Security"),"",IF(F28="Critical",B28+$I$6,IF(F28="High",B28+$I$7,IF(F28="Medium",B28+$I$8,""))))</f>
        <v/>
      </c>
      <c r="L28" s="13"/>
      <c r="M28" s="13"/>
      <c r="N28" s="13"/>
      <c r="O28" s="14"/>
      <c r="P28" s="17" t="str">
        <f aca="false">IF(OR(D28&lt;&gt;"Security",M28="Closed",NOT(ISNUMBER(K28))),"",IF($I$9&gt;K28,"OVERDUE","Within deadline"))</f>
        <v/>
      </c>
    </row>
    <row r="29" customFormat="false" ht="15" hidden="false" customHeight="false" outlineLevel="0" collapsed="false">
      <c r="A29" s="13"/>
      <c r="B29" s="14"/>
      <c r="C29" s="13"/>
      <c r="D29" s="13"/>
      <c r="E29" s="13"/>
      <c r="F29" s="13"/>
      <c r="G29" s="13"/>
      <c r="H29" s="13"/>
      <c r="I29" s="13"/>
      <c r="J29" s="14"/>
      <c r="K29" s="47" t="str">
        <f aca="false">IF(OR(B29="",D29&lt;&gt;"Security"),"",IF(F29="Critical",B29+$I$6,IF(F29="High",B29+$I$7,IF(F29="Medium",B29+$I$8,""))))</f>
        <v/>
      </c>
      <c r="L29" s="13"/>
      <c r="M29" s="13"/>
      <c r="N29" s="13"/>
      <c r="O29" s="14"/>
      <c r="P29" s="17" t="str">
        <f aca="false">IF(OR(D29&lt;&gt;"Security",M29="Closed",NOT(ISNUMBER(K29))),"",IF($I$9&gt;K29,"OVERDUE","Within deadline"))</f>
        <v/>
      </c>
    </row>
    <row r="30" customFormat="false" ht="15" hidden="false" customHeight="false" outlineLevel="0" collapsed="false">
      <c r="A30" s="13"/>
      <c r="B30" s="14"/>
      <c r="C30" s="13"/>
      <c r="D30" s="13"/>
      <c r="E30" s="13"/>
      <c r="F30" s="13"/>
      <c r="G30" s="13"/>
      <c r="H30" s="13"/>
      <c r="I30" s="13"/>
      <c r="J30" s="14"/>
      <c r="K30" s="47" t="str">
        <f aca="false">IF(OR(B30="",D30&lt;&gt;"Security"),"",IF(F30="Critical",B30+$I$6,IF(F30="High",B30+$I$7,IF(F30="Medium",B30+$I$8,""))))</f>
        <v/>
      </c>
      <c r="L30" s="13"/>
      <c r="M30" s="13"/>
      <c r="N30" s="13"/>
      <c r="O30" s="14"/>
      <c r="P30" s="17" t="str">
        <f aca="false">IF(OR(D30&lt;&gt;"Security",M30="Closed",NOT(ISNUMBER(K30))),"",IF($I$9&gt;K30,"OVERDUE","Within deadline"))</f>
        <v/>
      </c>
    </row>
    <row r="31" customFormat="false" ht="15" hidden="false" customHeight="false" outlineLevel="0" collapsed="false">
      <c r="A31" s="13"/>
      <c r="B31" s="14"/>
      <c r="C31" s="13"/>
      <c r="D31" s="13"/>
      <c r="E31" s="13"/>
      <c r="F31" s="13"/>
      <c r="G31" s="13"/>
      <c r="H31" s="13"/>
      <c r="I31" s="13"/>
      <c r="J31" s="14"/>
      <c r="K31" s="47" t="str">
        <f aca="false">IF(OR(B31="",D31&lt;&gt;"Security"),"",IF(F31="Critical",B31+$I$6,IF(F31="High",B31+$I$7,IF(F31="Medium",B31+$I$8,""))))</f>
        <v/>
      </c>
      <c r="L31" s="13"/>
      <c r="M31" s="13"/>
      <c r="N31" s="13"/>
      <c r="O31" s="14"/>
      <c r="P31" s="17" t="str">
        <f aca="false">IF(OR(D31&lt;&gt;"Security",M31="Closed",NOT(ISNUMBER(K31))),"",IF($I$9&gt;K31,"OVERDUE","Within deadline"))</f>
        <v/>
      </c>
    </row>
    <row r="32" customFormat="false" ht="15" hidden="false" customHeight="false" outlineLevel="0" collapsed="false">
      <c r="A32" s="13"/>
      <c r="B32" s="14"/>
      <c r="C32" s="13"/>
      <c r="D32" s="13"/>
      <c r="E32" s="13"/>
      <c r="F32" s="13"/>
      <c r="G32" s="13"/>
      <c r="H32" s="13"/>
      <c r="I32" s="13"/>
      <c r="J32" s="14"/>
      <c r="K32" s="47" t="str">
        <f aca="false">IF(OR(B32="",D32&lt;&gt;"Security"),"",IF(F32="Critical",B32+$I$6,IF(F32="High",B32+$I$7,IF(F32="Medium",B32+$I$8,""))))</f>
        <v/>
      </c>
      <c r="L32" s="13"/>
      <c r="M32" s="13"/>
      <c r="N32" s="13"/>
      <c r="O32" s="14"/>
      <c r="P32" s="17" t="str">
        <f aca="false">IF(OR(D32&lt;&gt;"Security",M32="Closed",NOT(ISNUMBER(K32))),"",IF($I$9&gt;K32,"OVERDUE","Within deadline"))</f>
        <v/>
      </c>
    </row>
    <row r="33" customFormat="false" ht="15" hidden="false" customHeight="false" outlineLevel="0" collapsed="false">
      <c r="A33" s="13"/>
      <c r="B33" s="14"/>
      <c r="C33" s="13"/>
      <c r="D33" s="13"/>
      <c r="E33" s="13"/>
      <c r="F33" s="13"/>
      <c r="G33" s="13"/>
      <c r="H33" s="13"/>
      <c r="I33" s="13"/>
      <c r="J33" s="14"/>
      <c r="K33" s="47" t="str">
        <f aca="false">IF(OR(B33="",D33&lt;&gt;"Security"),"",IF(F33="Critical",B33+$I$6,IF(F33="High",B33+$I$7,IF(F33="Medium",B33+$I$8,""))))</f>
        <v/>
      </c>
      <c r="L33" s="13"/>
      <c r="M33" s="13"/>
      <c r="N33" s="13"/>
      <c r="O33" s="14"/>
      <c r="P33" s="17" t="str">
        <f aca="false">IF(OR(D33&lt;&gt;"Security",M33="Closed",NOT(ISNUMBER(K33))),"",IF($I$9&gt;K33,"OVERDUE","Within deadline"))</f>
        <v/>
      </c>
    </row>
    <row r="34" customFormat="false" ht="15" hidden="false" customHeight="false" outlineLevel="0" collapsed="false">
      <c r="A34" s="13"/>
      <c r="B34" s="14"/>
      <c r="C34" s="13"/>
      <c r="D34" s="13"/>
      <c r="E34" s="13"/>
      <c r="F34" s="13"/>
      <c r="G34" s="13"/>
      <c r="H34" s="13"/>
      <c r="I34" s="13"/>
      <c r="J34" s="14"/>
      <c r="K34" s="47" t="str">
        <f aca="false">IF(OR(B34="",D34&lt;&gt;"Security"),"",IF(F34="Critical",B34+$I$6,IF(F34="High",B34+$I$7,IF(F34="Medium",B34+$I$8,""))))</f>
        <v/>
      </c>
      <c r="L34" s="13"/>
      <c r="M34" s="13"/>
      <c r="N34" s="13"/>
      <c r="O34" s="14"/>
      <c r="P34" s="17" t="str">
        <f aca="false">IF(OR(D34&lt;&gt;"Security",M34="Closed",NOT(ISNUMBER(K34))),"",IF($I$9&gt;K34,"OVERDUE","Within deadline"))</f>
        <v/>
      </c>
    </row>
    <row r="35" customFormat="false" ht="15" hidden="false" customHeight="false" outlineLevel="0" collapsed="false">
      <c r="A35" s="13"/>
      <c r="B35" s="14"/>
      <c r="C35" s="13"/>
      <c r="D35" s="13"/>
      <c r="E35" s="13"/>
      <c r="F35" s="13"/>
      <c r="G35" s="13"/>
      <c r="H35" s="13"/>
      <c r="I35" s="13"/>
      <c r="J35" s="14"/>
      <c r="K35" s="47" t="str">
        <f aca="false">IF(OR(B35="",D35&lt;&gt;"Security"),"",IF(F35="Critical",B35+$I$6,IF(F35="High",B35+$I$7,IF(F35="Medium",B35+$I$8,""))))</f>
        <v/>
      </c>
      <c r="L35" s="13"/>
      <c r="M35" s="13"/>
      <c r="N35" s="13"/>
      <c r="O35" s="14"/>
      <c r="P35" s="17" t="str">
        <f aca="false">IF(OR(D35&lt;&gt;"Security",M35="Closed",NOT(ISNUMBER(K35))),"",IF($I$9&gt;K35,"OVERDUE","Within deadline"))</f>
        <v/>
      </c>
    </row>
    <row r="36" customFormat="false" ht="15" hidden="false" customHeight="false" outlineLevel="0" collapsed="false">
      <c r="A36" s="13"/>
      <c r="B36" s="14"/>
      <c r="C36" s="13"/>
      <c r="D36" s="13"/>
      <c r="E36" s="13"/>
      <c r="F36" s="13"/>
      <c r="G36" s="13"/>
      <c r="H36" s="13"/>
      <c r="I36" s="13"/>
      <c r="J36" s="14"/>
      <c r="K36" s="47" t="str">
        <f aca="false">IF(OR(B36="",D36&lt;&gt;"Security"),"",IF(F36="Critical",B36+$I$6,IF(F36="High",B36+$I$7,IF(F36="Medium",B36+$I$8,""))))</f>
        <v/>
      </c>
      <c r="L36" s="13"/>
      <c r="M36" s="13"/>
      <c r="N36" s="13"/>
      <c r="O36" s="14"/>
      <c r="P36" s="17" t="str">
        <f aca="false">IF(OR(D36&lt;&gt;"Security",M36="Closed",NOT(ISNUMBER(K36))),"",IF($I$9&gt;K36,"OVERDUE","Within deadline"))</f>
        <v/>
      </c>
    </row>
    <row r="37" customFormat="false" ht="15" hidden="false" customHeight="false" outlineLevel="0" collapsed="false">
      <c r="A37" s="13"/>
      <c r="B37" s="14"/>
      <c r="C37" s="13"/>
      <c r="D37" s="13"/>
      <c r="E37" s="13"/>
      <c r="F37" s="13"/>
      <c r="G37" s="13"/>
      <c r="H37" s="13"/>
      <c r="I37" s="13"/>
      <c r="J37" s="14"/>
      <c r="K37" s="47" t="str">
        <f aca="false">IF(OR(B37="",D37&lt;&gt;"Security"),"",IF(F37="Critical",B37+$I$6,IF(F37="High",B37+$I$7,IF(F37="Medium",B37+$I$8,""))))</f>
        <v/>
      </c>
      <c r="L37" s="13"/>
      <c r="M37" s="13"/>
      <c r="N37" s="13"/>
      <c r="O37" s="14"/>
      <c r="P37" s="17" t="str">
        <f aca="false">IF(OR(D37&lt;&gt;"Security",M37="Closed",NOT(ISNUMBER(K37))),"",IF($I$9&gt;K37,"OVERDUE","Within deadline"))</f>
        <v/>
      </c>
    </row>
    <row r="38" customFormat="false" ht="15" hidden="false" customHeight="false" outlineLevel="0" collapsed="false">
      <c r="A38" s="13"/>
      <c r="B38" s="14"/>
      <c r="C38" s="13"/>
      <c r="D38" s="13"/>
      <c r="E38" s="13"/>
      <c r="F38" s="13"/>
      <c r="G38" s="13"/>
      <c r="H38" s="13"/>
      <c r="I38" s="13"/>
      <c r="J38" s="14"/>
      <c r="K38" s="47" t="str">
        <f aca="false">IF(OR(B38="",D38&lt;&gt;"Security"),"",IF(F38="Critical",B38+$I$6,IF(F38="High",B38+$I$7,IF(F38="Medium",B38+$I$8,""))))</f>
        <v/>
      </c>
      <c r="L38" s="13"/>
      <c r="M38" s="13"/>
      <c r="N38" s="13"/>
      <c r="O38" s="14"/>
      <c r="P38" s="17" t="str">
        <f aca="false">IF(OR(D38&lt;&gt;"Security",M38="Closed",NOT(ISNUMBER(K38))),"",IF($I$9&gt;K38,"OVERDUE","Within deadline"))</f>
        <v/>
      </c>
    </row>
    <row r="39" customFormat="false" ht="15" hidden="false" customHeight="false" outlineLevel="0" collapsed="false">
      <c r="A39" s="13"/>
      <c r="B39" s="14"/>
      <c r="C39" s="13"/>
      <c r="D39" s="13"/>
      <c r="E39" s="13"/>
      <c r="F39" s="13"/>
      <c r="G39" s="13"/>
      <c r="H39" s="13"/>
      <c r="I39" s="13"/>
      <c r="J39" s="14"/>
      <c r="K39" s="47" t="str">
        <f aca="false">IF(OR(B39="",D39&lt;&gt;"Security"),"",IF(F39="Critical",B39+$I$6,IF(F39="High",B39+$I$7,IF(F39="Medium",B39+$I$8,""))))</f>
        <v/>
      </c>
      <c r="L39" s="13"/>
      <c r="M39" s="13"/>
      <c r="N39" s="13"/>
      <c r="O39" s="14"/>
      <c r="P39" s="17" t="str">
        <f aca="false">IF(OR(D39&lt;&gt;"Security",M39="Closed",NOT(ISNUMBER(K39))),"",IF($I$9&gt;K39,"OVERDUE","Within deadline"))</f>
        <v/>
      </c>
    </row>
    <row r="40" customFormat="false" ht="15" hidden="false" customHeight="false" outlineLevel="0" collapsed="false">
      <c r="A40" s="13"/>
      <c r="B40" s="14"/>
      <c r="C40" s="13"/>
      <c r="D40" s="13"/>
      <c r="E40" s="13"/>
      <c r="F40" s="13"/>
      <c r="G40" s="13"/>
      <c r="H40" s="13"/>
      <c r="I40" s="13"/>
      <c r="J40" s="14"/>
      <c r="K40" s="47" t="str">
        <f aca="false">IF(OR(B40="",D40&lt;&gt;"Security"),"",IF(F40="Critical",B40+$I$6,IF(F40="High",B40+$I$7,IF(F40="Medium",B40+$I$8,""))))</f>
        <v/>
      </c>
      <c r="L40" s="13"/>
      <c r="M40" s="13"/>
      <c r="N40" s="13"/>
      <c r="O40" s="14"/>
      <c r="P40" s="17" t="str">
        <f aca="false">IF(OR(D40&lt;&gt;"Security",M40="Closed",NOT(ISNUMBER(K40))),"",IF($I$9&gt;K40,"OVERDUE","Within deadline"))</f>
        <v/>
      </c>
    </row>
    <row r="41" customFormat="false" ht="15" hidden="false" customHeight="false" outlineLevel="0" collapsed="false">
      <c r="A41" s="13"/>
      <c r="B41" s="14"/>
      <c r="C41" s="13"/>
      <c r="D41" s="13"/>
      <c r="E41" s="13"/>
      <c r="F41" s="13"/>
      <c r="G41" s="13"/>
      <c r="H41" s="13"/>
      <c r="I41" s="13"/>
      <c r="J41" s="14"/>
      <c r="K41" s="47" t="str">
        <f aca="false">IF(OR(B41="",D41&lt;&gt;"Security"),"",IF(F41="Critical",B41+$I$6,IF(F41="High",B41+$I$7,IF(F41="Medium",B41+$I$8,""))))</f>
        <v/>
      </c>
      <c r="L41" s="13"/>
      <c r="M41" s="13"/>
      <c r="N41" s="13"/>
      <c r="O41" s="14"/>
      <c r="P41" s="17" t="str">
        <f aca="false">IF(OR(D41&lt;&gt;"Security",M41="Closed",NOT(ISNUMBER(K41))),"",IF($I$9&gt;K41,"OVERDUE","Within deadline"))</f>
        <v/>
      </c>
    </row>
    <row r="42" customFormat="false" ht="15" hidden="false" customHeight="false" outlineLevel="0" collapsed="false">
      <c r="A42" s="13"/>
      <c r="B42" s="14"/>
      <c r="C42" s="13"/>
      <c r="D42" s="13"/>
      <c r="E42" s="13"/>
      <c r="F42" s="13"/>
      <c r="G42" s="13"/>
      <c r="H42" s="13"/>
      <c r="I42" s="13"/>
      <c r="J42" s="14"/>
      <c r="K42" s="47" t="str">
        <f aca="false">IF(OR(B42="",D42&lt;&gt;"Security"),"",IF(F42="Critical",B42+$I$6,IF(F42="High",B42+$I$7,IF(F42="Medium",B42+$I$8,""))))</f>
        <v/>
      </c>
      <c r="L42" s="13"/>
      <c r="M42" s="13"/>
      <c r="N42" s="13"/>
      <c r="O42" s="14"/>
      <c r="P42" s="17" t="str">
        <f aca="false">IF(OR(D42&lt;&gt;"Security",M42="Closed",NOT(ISNUMBER(K42))),"",IF($I$9&gt;K42,"OVERDUE","Within deadline"))</f>
        <v/>
      </c>
    </row>
    <row r="43" customFormat="false" ht="15" hidden="false" customHeight="false" outlineLevel="0" collapsed="false">
      <c r="A43" s="13"/>
      <c r="B43" s="14"/>
      <c r="C43" s="13"/>
      <c r="D43" s="13"/>
      <c r="E43" s="13"/>
      <c r="F43" s="13"/>
      <c r="G43" s="13"/>
      <c r="H43" s="13"/>
      <c r="I43" s="13"/>
      <c r="J43" s="14"/>
      <c r="K43" s="47" t="str">
        <f aca="false">IF(OR(B43="",D43&lt;&gt;"Security"),"",IF(F43="Critical",B43+$I$6,IF(F43="High",B43+$I$7,IF(F43="Medium",B43+$I$8,""))))</f>
        <v/>
      </c>
      <c r="L43" s="13"/>
      <c r="M43" s="13"/>
      <c r="N43" s="13"/>
      <c r="O43" s="14"/>
      <c r="P43" s="17" t="str">
        <f aca="false">IF(OR(D43&lt;&gt;"Security",M43="Closed",NOT(ISNUMBER(K43))),"",IF($I$9&gt;K43,"OVERDUE","Within deadline"))</f>
        <v/>
      </c>
    </row>
    <row r="44" customFormat="false" ht="15" hidden="false" customHeight="false" outlineLevel="0" collapsed="false">
      <c r="A44" s="13"/>
      <c r="B44" s="14"/>
      <c r="C44" s="13"/>
      <c r="D44" s="13"/>
      <c r="E44" s="13"/>
      <c r="F44" s="13"/>
      <c r="G44" s="13"/>
      <c r="H44" s="13"/>
      <c r="I44" s="13"/>
      <c r="J44" s="14"/>
      <c r="K44" s="47" t="str">
        <f aca="false">IF(OR(B44="",D44&lt;&gt;"Security"),"",IF(F44="Critical",B44+$I$6,IF(F44="High",B44+$I$7,IF(F44="Medium",B44+$I$8,""))))</f>
        <v/>
      </c>
      <c r="L44" s="13"/>
      <c r="M44" s="13"/>
      <c r="N44" s="13"/>
      <c r="O44" s="14"/>
      <c r="P44" s="17" t="str">
        <f aca="false">IF(OR(D44&lt;&gt;"Security",M44="Closed",NOT(ISNUMBER(K44))),"",IF($I$9&gt;K44,"OVERDUE","Within deadline"))</f>
        <v/>
      </c>
    </row>
    <row r="45" customFormat="false" ht="15" hidden="false" customHeight="false" outlineLevel="0" collapsed="false">
      <c r="A45" s="13"/>
      <c r="B45" s="14"/>
      <c r="C45" s="13"/>
      <c r="D45" s="13"/>
      <c r="E45" s="13"/>
      <c r="F45" s="13"/>
      <c r="G45" s="13"/>
      <c r="H45" s="13"/>
      <c r="I45" s="13"/>
      <c r="J45" s="14"/>
      <c r="K45" s="47" t="str">
        <f aca="false">IF(OR(B45="",D45&lt;&gt;"Security"),"",IF(F45="Critical",B45+$I$6,IF(F45="High",B45+$I$7,IF(F45="Medium",B45+$I$8,""))))</f>
        <v/>
      </c>
      <c r="L45" s="13"/>
      <c r="M45" s="13"/>
      <c r="N45" s="13"/>
      <c r="O45" s="14"/>
      <c r="P45" s="17" t="str">
        <f aca="false">IF(OR(D45&lt;&gt;"Security",M45="Closed",NOT(ISNUMBER(K45))),"",IF($I$9&gt;K45,"OVERDUE","Within deadline"))</f>
        <v/>
      </c>
    </row>
    <row r="46" customFormat="false" ht="15" hidden="false" customHeight="false" outlineLevel="0" collapsed="false">
      <c r="A46" s="13"/>
      <c r="B46" s="14"/>
      <c r="C46" s="13"/>
      <c r="D46" s="13"/>
      <c r="E46" s="13"/>
      <c r="F46" s="13"/>
      <c r="G46" s="13"/>
      <c r="H46" s="13"/>
      <c r="I46" s="13"/>
      <c r="J46" s="14"/>
      <c r="K46" s="47" t="str">
        <f aca="false">IF(OR(B46="",D46&lt;&gt;"Security"),"",IF(F46="Critical",B46+$I$6,IF(F46="High",B46+$I$7,IF(F46="Medium",B46+$I$8,""))))</f>
        <v/>
      </c>
      <c r="L46" s="13"/>
      <c r="M46" s="13"/>
      <c r="N46" s="13"/>
      <c r="O46" s="14"/>
      <c r="P46" s="17" t="str">
        <f aca="false">IF(OR(D46&lt;&gt;"Security",M46="Closed",NOT(ISNUMBER(K46))),"",IF($I$9&gt;K46,"OVERDUE","Within deadline"))</f>
        <v/>
      </c>
    </row>
    <row r="47" customFormat="false" ht="15" hidden="false" customHeight="false" outlineLevel="0" collapsed="false">
      <c r="A47" s="13"/>
      <c r="B47" s="14"/>
      <c r="C47" s="13"/>
      <c r="D47" s="13"/>
      <c r="E47" s="13"/>
      <c r="F47" s="13"/>
      <c r="G47" s="13"/>
      <c r="H47" s="13"/>
      <c r="I47" s="13"/>
      <c r="J47" s="14"/>
      <c r="K47" s="47" t="str">
        <f aca="false">IF(OR(B47="",D47&lt;&gt;"Security"),"",IF(F47="Critical",B47+$I$6,IF(F47="High",B47+$I$7,IF(F47="Medium",B47+$I$8,""))))</f>
        <v/>
      </c>
      <c r="L47" s="13"/>
      <c r="M47" s="13"/>
      <c r="N47" s="13"/>
      <c r="O47" s="14"/>
      <c r="P47" s="17" t="str">
        <f aca="false">IF(OR(D47&lt;&gt;"Security",M47="Closed",NOT(ISNUMBER(K47))),"",IF($I$9&gt;K47,"OVERDUE","Within deadline"))</f>
        <v/>
      </c>
    </row>
    <row r="48" customFormat="false" ht="15" hidden="false" customHeight="false" outlineLevel="0" collapsed="false">
      <c r="A48" s="13"/>
      <c r="B48" s="14"/>
      <c r="C48" s="13"/>
      <c r="D48" s="13"/>
      <c r="E48" s="13"/>
      <c r="F48" s="13"/>
      <c r="G48" s="13"/>
      <c r="H48" s="13"/>
      <c r="I48" s="13"/>
      <c r="J48" s="14"/>
      <c r="K48" s="47" t="str">
        <f aca="false">IF(OR(B48="",D48&lt;&gt;"Security"),"",IF(F48="Critical",B48+$I$6,IF(F48="High",B48+$I$7,IF(F48="Medium",B48+$I$8,""))))</f>
        <v/>
      </c>
      <c r="L48" s="13"/>
      <c r="M48" s="13"/>
      <c r="N48" s="13"/>
      <c r="O48" s="14"/>
      <c r="P48" s="17" t="str">
        <f aca="false">IF(OR(D48&lt;&gt;"Security",M48="Closed",NOT(ISNUMBER(K48))),"",IF($I$9&gt;K48,"OVERDUE","Within deadline"))</f>
        <v/>
      </c>
    </row>
    <row r="49" customFormat="false" ht="15" hidden="false" customHeight="false" outlineLevel="0" collapsed="false">
      <c r="A49" s="13"/>
      <c r="B49" s="14"/>
      <c r="C49" s="13"/>
      <c r="D49" s="13"/>
      <c r="E49" s="13"/>
      <c r="F49" s="13"/>
      <c r="G49" s="13"/>
      <c r="H49" s="13"/>
      <c r="I49" s="13"/>
      <c r="J49" s="14"/>
      <c r="K49" s="47" t="str">
        <f aca="false">IF(OR(B49="",D49&lt;&gt;"Security"),"",IF(F49="Critical",B49+$I$6,IF(F49="High",B49+$I$7,IF(F49="Medium",B49+$I$8,""))))</f>
        <v/>
      </c>
      <c r="L49" s="13"/>
      <c r="M49" s="13"/>
      <c r="N49" s="13"/>
      <c r="O49" s="14"/>
      <c r="P49" s="17" t="str">
        <f aca="false">IF(OR(D49&lt;&gt;"Security",M49="Closed",NOT(ISNUMBER(K49))),"",IF($I$9&gt;K49,"OVERDUE","Within deadline"))</f>
        <v/>
      </c>
    </row>
    <row r="50" customFormat="false" ht="15" hidden="false" customHeight="false" outlineLevel="0" collapsed="false">
      <c r="A50" s="13"/>
      <c r="B50" s="14"/>
      <c r="C50" s="13"/>
      <c r="D50" s="13"/>
      <c r="E50" s="13"/>
      <c r="F50" s="13"/>
      <c r="G50" s="13"/>
      <c r="H50" s="13"/>
      <c r="I50" s="13"/>
      <c r="J50" s="14"/>
      <c r="K50" s="47" t="str">
        <f aca="false">IF(OR(B50="",D50&lt;&gt;"Security"),"",IF(F50="Critical",B50+$I$6,IF(F50="High",B50+$I$7,IF(F50="Medium",B50+$I$8,""))))</f>
        <v/>
      </c>
      <c r="L50" s="13"/>
      <c r="M50" s="13"/>
      <c r="N50" s="13"/>
      <c r="O50" s="14"/>
      <c r="P50" s="17" t="str">
        <f aca="false">IF(OR(D50&lt;&gt;"Security",M50="Closed",NOT(ISNUMBER(K50))),"",IF($I$9&gt;K50,"OVERDUE","Within deadline"))</f>
        <v/>
      </c>
    </row>
    <row r="51" customFormat="false" ht="15" hidden="false" customHeight="false" outlineLevel="0" collapsed="false">
      <c r="A51" s="13"/>
      <c r="B51" s="14"/>
      <c r="C51" s="13"/>
      <c r="D51" s="13"/>
      <c r="E51" s="13"/>
      <c r="F51" s="13"/>
      <c r="G51" s="13"/>
      <c r="H51" s="13"/>
      <c r="I51" s="13"/>
      <c r="J51" s="14"/>
      <c r="K51" s="47" t="str">
        <f aca="false">IF(OR(B51="",D51&lt;&gt;"Security"),"",IF(F51="Critical",B51+$I$6,IF(F51="High",B51+$I$7,IF(F51="Medium",B51+$I$8,""))))</f>
        <v/>
      </c>
      <c r="L51" s="13"/>
      <c r="M51" s="13"/>
      <c r="N51" s="13"/>
      <c r="O51" s="14"/>
      <c r="P51" s="17" t="str">
        <f aca="false">IF(OR(D51&lt;&gt;"Security",M51="Closed",NOT(ISNUMBER(K51))),"",IF($I$9&gt;K51,"OVERDUE","Within deadline"))</f>
        <v/>
      </c>
    </row>
    <row r="52" customFormat="false" ht="15" hidden="false" customHeight="false" outlineLevel="0" collapsed="false">
      <c r="A52" s="13"/>
      <c r="B52" s="14"/>
      <c r="C52" s="13"/>
      <c r="D52" s="13"/>
      <c r="E52" s="13"/>
      <c r="F52" s="13"/>
      <c r="G52" s="13"/>
      <c r="H52" s="13"/>
      <c r="I52" s="13"/>
      <c r="J52" s="14"/>
      <c r="K52" s="47" t="str">
        <f aca="false">IF(OR(B52="",D52&lt;&gt;"Security"),"",IF(F52="Critical",B52+$I$6,IF(F52="High",B52+$I$7,IF(F52="Medium",B52+$I$8,""))))</f>
        <v/>
      </c>
      <c r="L52" s="13"/>
      <c r="M52" s="13"/>
      <c r="N52" s="13"/>
      <c r="O52" s="14"/>
      <c r="P52" s="17" t="str">
        <f aca="false">IF(OR(D52&lt;&gt;"Security",M52="Closed",NOT(ISNUMBER(K52))),"",IF($I$9&gt;K52,"OVERDUE","Within deadline"))</f>
        <v/>
      </c>
    </row>
    <row r="53" customFormat="false" ht="15" hidden="false" customHeight="false" outlineLevel="0" collapsed="false">
      <c r="A53" s="13"/>
      <c r="B53" s="14"/>
      <c r="C53" s="13"/>
      <c r="D53" s="13"/>
      <c r="E53" s="13"/>
      <c r="F53" s="13"/>
      <c r="G53" s="13"/>
      <c r="H53" s="13"/>
      <c r="I53" s="13"/>
      <c r="J53" s="14"/>
      <c r="K53" s="47" t="str">
        <f aca="false">IF(OR(B53="",D53&lt;&gt;"Security"),"",IF(F53="Critical",B53+$I$6,IF(F53="High",B53+$I$7,IF(F53="Medium",B53+$I$8,""))))</f>
        <v/>
      </c>
      <c r="L53" s="13"/>
      <c r="M53" s="13"/>
      <c r="N53" s="13"/>
      <c r="O53" s="14"/>
      <c r="P53" s="17" t="str">
        <f aca="false">IF(OR(D53&lt;&gt;"Security",M53="Closed",NOT(ISNUMBER(K53))),"",IF($I$9&gt;K53,"OVERDUE","Within deadline"))</f>
        <v/>
      </c>
    </row>
    <row r="54" customFormat="false" ht="15" hidden="false" customHeight="false" outlineLevel="0" collapsed="false">
      <c r="A54" s="13"/>
      <c r="B54" s="14"/>
      <c r="C54" s="13"/>
      <c r="D54" s="13"/>
      <c r="E54" s="13"/>
      <c r="F54" s="13"/>
      <c r="G54" s="13"/>
      <c r="H54" s="13"/>
      <c r="I54" s="13"/>
      <c r="J54" s="14"/>
      <c r="K54" s="47" t="str">
        <f aca="false">IF(OR(B54="",D54&lt;&gt;"Security"),"",IF(F54="Critical",B54+$I$6,IF(F54="High",B54+$I$7,IF(F54="Medium",B54+$I$8,""))))</f>
        <v/>
      </c>
      <c r="L54" s="13"/>
      <c r="M54" s="13"/>
      <c r="N54" s="13"/>
      <c r="O54" s="14"/>
      <c r="P54" s="17" t="str">
        <f aca="false">IF(OR(D54&lt;&gt;"Security",M54="Closed",NOT(ISNUMBER(K54))),"",IF($I$9&gt;K54,"OVERDUE","Within deadline"))</f>
        <v/>
      </c>
    </row>
    <row r="55" customFormat="false" ht="15" hidden="false" customHeight="false" outlineLevel="0" collapsed="false">
      <c r="A55" s="13"/>
      <c r="B55" s="14"/>
      <c r="C55" s="13"/>
      <c r="D55" s="13"/>
      <c r="E55" s="13"/>
      <c r="F55" s="13"/>
      <c r="G55" s="13"/>
      <c r="H55" s="13"/>
      <c r="I55" s="13"/>
      <c r="J55" s="14"/>
      <c r="K55" s="47" t="str">
        <f aca="false">IF(OR(B55="",D55&lt;&gt;"Security"),"",IF(F55="Critical",B55+$I$6,IF(F55="High",B55+$I$7,IF(F55="Medium",B55+$I$8,""))))</f>
        <v/>
      </c>
      <c r="L55" s="13"/>
      <c r="M55" s="13"/>
      <c r="N55" s="13"/>
      <c r="O55" s="14"/>
      <c r="P55" s="17" t="str">
        <f aca="false">IF(OR(D55&lt;&gt;"Security",M55="Closed",NOT(ISNUMBER(K55))),"",IF($I$9&gt;K55,"OVERDUE","Within deadline"))</f>
        <v/>
      </c>
    </row>
    <row r="56" customFormat="false" ht="15" hidden="false" customHeight="false" outlineLevel="0" collapsed="false">
      <c r="A56" s="13"/>
      <c r="B56" s="14"/>
      <c r="C56" s="13"/>
      <c r="D56" s="13"/>
      <c r="E56" s="13"/>
      <c r="F56" s="13"/>
      <c r="G56" s="13"/>
      <c r="H56" s="13"/>
      <c r="I56" s="13"/>
      <c r="J56" s="14"/>
      <c r="K56" s="47" t="str">
        <f aca="false">IF(OR(B56="",D56&lt;&gt;"Security"),"",IF(F56="Critical",B56+$I$6,IF(F56="High",B56+$I$7,IF(F56="Medium",B56+$I$8,""))))</f>
        <v/>
      </c>
      <c r="L56" s="13"/>
      <c r="M56" s="13"/>
      <c r="N56" s="13"/>
      <c r="O56" s="14"/>
      <c r="P56" s="17" t="str">
        <f aca="false">IF(OR(D56&lt;&gt;"Security",M56="Closed",NOT(ISNUMBER(K56))),"",IF($I$9&gt;K56,"OVERDUE","Within deadline"))</f>
        <v/>
      </c>
    </row>
    <row r="57" customFormat="false" ht="15" hidden="false" customHeight="false" outlineLevel="0" collapsed="false">
      <c r="A57" s="13"/>
      <c r="B57" s="14"/>
      <c r="C57" s="13"/>
      <c r="D57" s="13"/>
      <c r="E57" s="13"/>
      <c r="F57" s="13"/>
      <c r="G57" s="13"/>
      <c r="H57" s="13"/>
      <c r="I57" s="13"/>
      <c r="J57" s="14"/>
      <c r="K57" s="47" t="str">
        <f aca="false">IF(OR(B57="",D57&lt;&gt;"Security"),"",IF(F57="Critical",B57+$I$6,IF(F57="High",B57+$I$7,IF(F57="Medium",B57+$I$8,""))))</f>
        <v/>
      </c>
      <c r="L57" s="13"/>
      <c r="M57" s="13"/>
      <c r="N57" s="13"/>
      <c r="O57" s="14"/>
      <c r="P57" s="17" t="str">
        <f aca="false">IF(OR(D57&lt;&gt;"Security",M57="Closed",NOT(ISNUMBER(K57))),"",IF($I$9&gt;K57,"OVERDUE","Within deadline"))</f>
        <v/>
      </c>
    </row>
    <row r="58" customFormat="false" ht="15" hidden="false" customHeight="false" outlineLevel="0" collapsed="false">
      <c r="A58" s="13"/>
      <c r="B58" s="14"/>
      <c r="C58" s="13"/>
      <c r="D58" s="13"/>
      <c r="E58" s="13"/>
      <c r="F58" s="13"/>
      <c r="G58" s="13"/>
      <c r="H58" s="13"/>
      <c r="I58" s="13"/>
      <c r="J58" s="14"/>
      <c r="K58" s="47" t="str">
        <f aca="false">IF(OR(B58="",D58&lt;&gt;"Security"),"",IF(F58="Critical",B58+$I$6,IF(F58="High",B58+$I$7,IF(F58="Medium",B58+$I$8,""))))</f>
        <v/>
      </c>
      <c r="L58" s="13"/>
      <c r="M58" s="13"/>
      <c r="N58" s="13"/>
      <c r="O58" s="14"/>
      <c r="P58" s="17" t="str">
        <f aca="false">IF(OR(D58&lt;&gt;"Security",M58="Closed",NOT(ISNUMBER(K58))),"",IF($I$9&gt;K58,"OVERDUE","Within deadline"))</f>
        <v/>
      </c>
    </row>
    <row r="59" customFormat="false" ht="15" hidden="false" customHeight="false" outlineLevel="0" collapsed="false">
      <c r="A59" s="13"/>
      <c r="B59" s="14"/>
      <c r="C59" s="13"/>
      <c r="D59" s="13"/>
      <c r="E59" s="13"/>
      <c r="F59" s="13"/>
      <c r="G59" s="13"/>
      <c r="H59" s="13"/>
      <c r="I59" s="13"/>
      <c r="J59" s="14"/>
      <c r="K59" s="47" t="str">
        <f aca="false">IF(OR(B59="",D59&lt;&gt;"Security"),"",IF(F59="Critical",B59+$I$6,IF(F59="High",B59+$I$7,IF(F59="Medium",B59+$I$8,""))))</f>
        <v/>
      </c>
      <c r="L59" s="13"/>
      <c r="M59" s="13"/>
      <c r="N59" s="13"/>
      <c r="O59" s="14"/>
      <c r="P59" s="17" t="str">
        <f aca="false">IF(OR(D59&lt;&gt;"Security",M59="Closed",NOT(ISNUMBER(K59))),"",IF($I$9&gt;K59,"OVERDUE","Within deadline"))</f>
        <v/>
      </c>
    </row>
    <row r="60" customFormat="false" ht="15" hidden="false" customHeight="false" outlineLevel="0" collapsed="false">
      <c r="A60" s="13"/>
      <c r="B60" s="14"/>
      <c r="C60" s="13"/>
      <c r="D60" s="13"/>
      <c r="E60" s="13"/>
      <c r="F60" s="13"/>
      <c r="G60" s="13"/>
      <c r="H60" s="13"/>
      <c r="I60" s="13"/>
      <c r="J60" s="14"/>
      <c r="K60" s="47" t="str">
        <f aca="false">IF(OR(B60="",D60&lt;&gt;"Security"),"",IF(F60="Critical",B60+$I$6,IF(F60="High",B60+$I$7,IF(F60="Medium",B60+$I$8,""))))</f>
        <v/>
      </c>
      <c r="L60" s="13"/>
      <c r="M60" s="13"/>
      <c r="N60" s="13"/>
      <c r="O60" s="14"/>
      <c r="P60" s="17" t="str">
        <f aca="false">IF(OR(D60&lt;&gt;"Security",M60="Closed",NOT(ISNUMBER(K60))),"",IF($I$9&gt;K60,"OVERDUE","Within deadline"))</f>
        <v/>
      </c>
    </row>
    <row r="61" customFormat="false" ht="15" hidden="false" customHeight="false" outlineLevel="0" collapsed="false">
      <c r="A61" s="13"/>
      <c r="B61" s="14"/>
      <c r="C61" s="13"/>
      <c r="D61" s="13"/>
      <c r="E61" s="13"/>
      <c r="F61" s="13"/>
      <c r="G61" s="13"/>
      <c r="H61" s="13"/>
      <c r="I61" s="13"/>
      <c r="J61" s="14"/>
      <c r="K61" s="47" t="str">
        <f aca="false">IF(OR(B61="",D61&lt;&gt;"Security"),"",IF(F61="Critical",B61+$I$6,IF(F61="High",B61+$I$7,IF(F61="Medium",B61+$I$8,""))))</f>
        <v/>
      </c>
      <c r="L61" s="13"/>
      <c r="M61" s="13"/>
      <c r="N61" s="13"/>
      <c r="O61" s="14"/>
      <c r="P61" s="17" t="str">
        <f aca="false">IF(OR(D61&lt;&gt;"Security",M61="Closed",NOT(ISNUMBER(K61))),"",IF($I$9&gt;K61,"OVERDUE","Within deadline"))</f>
        <v/>
      </c>
    </row>
    <row r="62" customFormat="false" ht="15" hidden="false" customHeight="false" outlineLevel="0" collapsed="false">
      <c r="A62" s="13"/>
      <c r="B62" s="14"/>
      <c r="C62" s="13"/>
      <c r="D62" s="13"/>
      <c r="E62" s="13"/>
      <c r="F62" s="13"/>
      <c r="G62" s="13"/>
      <c r="H62" s="13"/>
      <c r="I62" s="13"/>
      <c r="J62" s="14"/>
      <c r="K62" s="47" t="str">
        <f aca="false">IF(OR(B62="",D62&lt;&gt;"Security"),"",IF(F62="Critical",B62+$I$6,IF(F62="High",B62+$I$7,IF(F62="Medium",B62+$I$8,""))))</f>
        <v/>
      </c>
      <c r="L62" s="13"/>
      <c r="M62" s="13"/>
      <c r="N62" s="13"/>
      <c r="O62" s="14"/>
      <c r="P62" s="17" t="str">
        <f aca="false">IF(OR(D62&lt;&gt;"Security",M62="Closed",NOT(ISNUMBER(K62))),"",IF($I$9&gt;K62,"OVERDUE","Within deadline"))</f>
        <v/>
      </c>
    </row>
    <row r="63" customFormat="false" ht="15" hidden="false" customHeight="false" outlineLevel="0" collapsed="false">
      <c r="A63" s="13"/>
      <c r="B63" s="14"/>
      <c r="C63" s="13"/>
      <c r="D63" s="13"/>
      <c r="E63" s="13"/>
      <c r="F63" s="13"/>
      <c r="G63" s="13"/>
      <c r="H63" s="13"/>
      <c r="I63" s="13"/>
      <c r="J63" s="14"/>
      <c r="K63" s="47" t="str">
        <f aca="false">IF(OR(B63="",D63&lt;&gt;"Security"),"",IF(F63="Critical",B63+$I$6,IF(F63="High",B63+$I$7,IF(F63="Medium",B63+$I$8,""))))</f>
        <v/>
      </c>
      <c r="L63" s="13"/>
      <c r="M63" s="13"/>
      <c r="N63" s="13"/>
      <c r="O63" s="14"/>
      <c r="P63" s="17" t="str">
        <f aca="false">IF(OR(D63&lt;&gt;"Security",M63="Closed",NOT(ISNUMBER(K63))),"",IF($I$9&gt;K63,"OVERDUE","Within deadline"))</f>
        <v/>
      </c>
    </row>
    <row r="64" customFormat="false" ht="15" hidden="false" customHeight="false" outlineLevel="0" collapsed="false">
      <c r="A64" s="13"/>
      <c r="B64" s="14"/>
      <c r="C64" s="13"/>
      <c r="D64" s="13"/>
      <c r="E64" s="13"/>
      <c r="F64" s="13"/>
      <c r="G64" s="13"/>
      <c r="H64" s="13"/>
      <c r="I64" s="13"/>
      <c r="J64" s="14"/>
      <c r="K64" s="47" t="str">
        <f aca="false">IF(OR(B64="",D64&lt;&gt;"Security"),"",IF(F64="Critical",B64+$I$6,IF(F64="High",B64+$I$7,IF(F64="Medium",B64+$I$8,""))))</f>
        <v/>
      </c>
      <c r="L64" s="13"/>
      <c r="M64" s="13"/>
      <c r="N64" s="13"/>
      <c r="O64" s="14"/>
      <c r="P64" s="17" t="str">
        <f aca="false">IF(OR(D64&lt;&gt;"Security",M64="Closed",NOT(ISNUMBER(K64))),"",IF($I$9&gt;K64,"OVERDUE","Within deadline"))</f>
        <v/>
      </c>
    </row>
    <row r="65" customFormat="false" ht="15" hidden="false" customHeight="false" outlineLevel="0" collapsed="false">
      <c r="A65" s="13"/>
      <c r="B65" s="14"/>
      <c r="C65" s="13"/>
      <c r="D65" s="13"/>
      <c r="E65" s="13"/>
      <c r="F65" s="13"/>
      <c r="G65" s="13"/>
      <c r="H65" s="13"/>
      <c r="I65" s="13"/>
      <c r="J65" s="14"/>
      <c r="K65" s="47" t="str">
        <f aca="false">IF(OR(B65="",D65&lt;&gt;"Security"),"",IF(F65="Critical",B65+$I$6,IF(F65="High",B65+$I$7,IF(F65="Medium",B65+$I$8,""))))</f>
        <v/>
      </c>
      <c r="L65" s="13"/>
      <c r="M65" s="13"/>
      <c r="N65" s="13"/>
      <c r="O65" s="14"/>
      <c r="P65" s="17" t="str">
        <f aca="false">IF(OR(D65&lt;&gt;"Security",M65="Closed",NOT(ISNUMBER(K65))),"",IF($I$9&gt;K65,"OVERDUE","Within deadline"))</f>
        <v/>
      </c>
    </row>
    <row r="66" customFormat="false" ht="15" hidden="false" customHeight="false" outlineLevel="0" collapsed="false">
      <c r="A66" s="13"/>
      <c r="B66" s="14"/>
      <c r="C66" s="13"/>
      <c r="D66" s="13"/>
      <c r="E66" s="13"/>
      <c r="F66" s="13"/>
      <c r="G66" s="13"/>
      <c r="H66" s="13"/>
      <c r="I66" s="13"/>
      <c r="J66" s="14"/>
      <c r="K66" s="47" t="str">
        <f aca="false">IF(OR(B66="",D66&lt;&gt;"Security"),"",IF(F66="Critical",B66+$I$6,IF(F66="High",B66+$I$7,IF(F66="Medium",B66+$I$8,""))))</f>
        <v/>
      </c>
      <c r="L66" s="13"/>
      <c r="M66" s="13"/>
      <c r="N66" s="13"/>
      <c r="O66" s="14"/>
      <c r="P66" s="17" t="str">
        <f aca="false">IF(OR(D66&lt;&gt;"Security",M66="Closed",NOT(ISNUMBER(K66))),"",IF($I$9&gt;K66,"OVERDUE","Within deadline"))</f>
        <v/>
      </c>
    </row>
    <row r="67" customFormat="false" ht="15" hidden="false" customHeight="false" outlineLevel="0" collapsed="false">
      <c r="A67" s="13"/>
      <c r="B67" s="14"/>
      <c r="C67" s="13"/>
      <c r="D67" s="13"/>
      <c r="E67" s="13"/>
      <c r="F67" s="13"/>
      <c r="G67" s="13"/>
      <c r="H67" s="13"/>
      <c r="I67" s="13"/>
      <c r="J67" s="14"/>
      <c r="K67" s="47" t="str">
        <f aca="false">IF(OR(B67="",D67&lt;&gt;"Security"),"",IF(F67="Critical",B67+$I$6,IF(F67="High",B67+$I$7,IF(F67="Medium",B67+$I$8,""))))</f>
        <v/>
      </c>
      <c r="L67" s="13"/>
      <c r="M67" s="13"/>
      <c r="N67" s="13"/>
      <c r="O67" s="14"/>
      <c r="P67" s="17" t="str">
        <f aca="false">IF(OR(D67&lt;&gt;"Security",M67="Closed",NOT(ISNUMBER(K67))),"",IF($I$9&gt;K67,"OVERDUE","Within deadline"))</f>
        <v/>
      </c>
    </row>
    <row r="68" customFormat="false" ht="15" hidden="false" customHeight="false" outlineLevel="0" collapsed="false">
      <c r="A68" s="13"/>
      <c r="B68" s="14"/>
      <c r="C68" s="13"/>
      <c r="D68" s="13"/>
      <c r="E68" s="13"/>
      <c r="F68" s="13"/>
      <c r="G68" s="13"/>
      <c r="H68" s="13"/>
      <c r="I68" s="13"/>
      <c r="J68" s="14"/>
      <c r="K68" s="47" t="str">
        <f aca="false">IF(OR(B68="",D68&lt;&gt;"Security"),"",IF(F68="Critical",B68+$I$6,IF(F68="High",B68+$I$7,IF(F68="Medium",B68+$I$8,""))))</f>
        <v/>
      </c>
      <c r="L68" s="13"/>
      <c r="M68" s="13"/>
      <c r="N68" s="13"/>
      <c r="O68" s="14"/>
      <c r="P68" s="17" t="str">
        <f aca="false">IF(OR(D68&lt;&gt;"Security",M68="Closed",NOT(ISNUMBER(K68))),"",IF($I$9&gt;K68,"OVERDUE","Within deadline"))</f>
        <v/>
      </c>
    </row>
    <row r="69" customFormat="false" ht="15" hidden="false" customHeight="false" outlineLevel="0" collapsed="false">
      <c r="A69" s="13"/>
      <c r="B69" s="14"/>
      <c r="C69" s="13"/>
      <c r="D69" s="13"/>
      <c r="E69" s="13"/>
      <c r="F69" s="13"/>
      <c r="G69" s="13"/>
      <c r="H69" s="13"/>
      <c r="I69" s="13"/>
      <c r="J69" s="14"/>
      <c r="K69" s="47" t="str">
        <f aca="false">IF(OR(B69="",D69&lt;&gt;"Security"),"",IF(F69="Critical",B69+$I$6,IF(F69="High",B69+$I$7,IF(F69="Medium",B69+$I$8,""))))</f>
        <v/>
      </c>
      <c r="L69" s="13"/>
      <c r="M69" s="13"/>
      <c r="N69" s="13"/>
      <c r="O69" s="14"/>
      <c r="P69" s="17" t="str">
        <f aca="false">IF(OR(D69&lt;&gt;"Security",M69="Closed",NOT(ISNUMBER(K69))),"",IF($I$9&gt;K69,"OVERDUE","Within deadline"))</f>
        <v/>
      </c>
    </row>
    <row r="70" customFormat="false" ht="15" hidden="false" customHeight="false" outlineLevel="0" collapsed="false">
      <c r="A70" s="13"/>
      <c r="B70" s="14"/>
      <c r="C70" s="13"/>
      <c r="D70" s="13"/>
      <c r="E70" s="13"/>
      <c r="F70" s="13"/>
      <c r="G70" s="13"/>
      <c r="H70" s="13"/>
      <c r="I70" s="13"/>
      <c r="J70" s="14"/>
      <c r="K70" s="47" t="str">
        <f aca="false">IF(OR(B70="",D70&lt;&gt;"Security"),"",IF(F70="Critical",B70+$I$6,IF(F70="High",B70+$I$7,IF(F70="Medium",B70+$I$8,""))))</f>
        <v/>
      </c>
      <c r="L70" s="13"/>
      <c r="M70" s="13"/>
      <c r="N70" s="13"/>
      <c r="O70" s="14"/>
      <c r="P70" s="17" t="str">
        <f aca="false">IF(OR(D70&lt;&gt;"Security",M70="Closed",NOT(ISNUMBER(K70))),"",IF($I$9&gt;K70,"OVERDUE","Within deadline"))</f>
        <v/>
      </c>
    </row>
    <row r="71" customFormat="false" ht="15" hidden="false" customHeight="false" outlineLevel="0" collapsed="false">
      <c r="A71" s="13"/>
      <c r="B71" s="14"/>
      <c r="C71" s="13"/>
      <c r="D71" s="13"/>
      <c r="E71" s="13"/>
      <c r="F71" s="13"/>
      <c r="G71" s="13"/>
      <c r="H71" s="13"/>
      <c r="I71" s="13"/>
      <c r="J71" s="14"/>
      <c r="K71" s="47" t="str">
        <f aca="false">IF(OR(B71="",D71&lt;&gt;"Security"),"",IF(F71="Critical",B71+$I$6,IF(F71="High",B71+$I$7,IF(F71="Medium",B71+$I$8,""))))</f>
        <v/>
      </c>
      <c r="L71" s="13"/>
      <c r="M71" s="13"/>
      <c r="N71" s="13"/>
      <c r="O71" s="14"/>
      <c r="P71" s="17" t="str">
        <f aca="false">IF(OR(D71&lt;&gt;"Security",M71="Closed",NOT(ISNUMBER(K71))),"",IF($I$9&gt;K71,"OVERDUE","Within deadline"))</f>
        <v/>
      </c>
    </row>
    <row r="72" customFormat="false" ht="15" hidden="false" customHeight="false" outlineLevel="0" collapsed="false">
      <c r="A72" s="13"/>
      <c r="B72" s="14"/>
      <c r="C72" s="13"/>
      <c r="D72" s="13"/>
      <c r="E72" s="13"/>
      <c r="F72" s="13"/>
      <c r="G72" s="13"/>
      <c r="H72" s="13"/>
      <c r="I72" s="13"/>
      <c r="J72" s="14"/>
      <c r="K72" s="47" t="str">
        <f aca="false">IF(OR(B72="",D72&lt;&gt;"Security"),"",IF(F72="Critical",B72+$I$6,IF(F72="High",B72+$I$7,IF(F72="Medium",B72+$I$8,""))))</f>
        <v/>
      </c>
      <c r="L72" s="13"/>
      <c r="M72" s="13"/>
      <c r="N72" s="13"/>
      <c r="O72" s="14"/>
      <c r="P72" s="17" t="str">
        <f aca="false">IF(OR(D72&lt;&gt;"Security",M72="Closed",NOT(ISNUMBER(K72))),"",IF($I$9&gt;K72,"OVERDUE","Within deadline"))</f>
        <v/>
      </c>
    </row>
    <row r="73" customFormat="false" ht="15" hidden="false" customHeight="false" outlineLevel="0" collapsed="false">
      <c r="A73" s="13"/>
      <c r="B73" s="14"/>
      <c r="C73" s="13"/>
      <c r="D73" s="13"/>
      <c r="E73" s="13"/>
      <c r="F73" s="13"/>
      <c r="G73" s="13"/>
      <c r="H73" s="13"/>
      <c r="I73" s="13"/>
      <c r="J73" s="14"/>
      <c r="K73" s="47" t="str">
        <f aca="false">IF(OR(B73="",D73&lt;&gt;"Security"),"",IF(F73="Critical",B73+$I$6,IF(F73="High",B73+$I$7,IF(F73="Medium",B73+$I$8,""))))</f>
        <v/>
      </c>
      <c r="L73" s="13"/>
      <c r="M73" s="13"/>
      <c r="N73" s="13"/>
      <c r="O73" s="14"/>
      <c r="P73" s="17" t="str">
        <f aca="false">IF(OR(D73&lt;&gt;"Security",M73="Closed",NOT(ISNUMBER(K73))),"",IF($I$9&gt;K73,"OVERDUE","Within deadline"))</f>
        <v/>
      </c>
    </row>
    <row r="74" customFormat="false" ht="15" hidden="false" customHeight="false" outlineLevel="0" collapsed="false">
      <c r="A74" s="13"/>
      <c r="B74" s="14"/>
      <c r="C74" s="13"/>
      <c r="D74" s="13"/>
      <c r="E74" s="13"/>
      <c r="F74" s="13"/>
      <c r="G74" s="13"/>
      <c r="H74" s="13"/>
      <c r="I74" s="13"/>
      <c r="J74" s="14"/>
      <c r="K74" s="47" t="str">
        <f aca="false">IF(OR(B74="",D74&lt;&gt;"Security"),"",IF(F74="Critical",B74+$I$6,IF(F74="High",B74+$I$7,IF(F74="Medium",B74+$I$8,""))))</f>
        <v/>
      </c>
      <c r="L74" s="13"/>
      <c r="M74" s="13"/>
      <c r="N74" s="13"/>
      <c r="O74" s="14"/>
      <c r="P74" s="17" t="str">
        <f aca="false">IF(OR(D74&lt;&gt;"Security",M74="Closed",NOT(ISNUMBER(K74))),"",IF($I$9&gt;K74,"OVERDUE","Within deadline"))</f>
        <v/>
      </c>
    </row>
    <row r="75" customFormat="false" ht="15" hidden="false" customHeight="false" outlineLevel="0" collapsed="false">
      <c r="A75" s="13"/>
      <c r="B75" s="14"/>
      <c r="C75" s="13"/>
      <c r="D75" s="13"/>
      <c r="E75" s="13"/>
      <c r="F75" s="13"/>
      <c r="G75" s="13"/>
      <c r="H75" s="13"/>
      <c r="I75" s="13"/>
      <c r="J75" s="14"/>
      <c r="K75" s="47" t="str">
        <f aca="false">IF(OR(B75="",D75&lt;&gt;"Security"),"",IF(F75="Critical",B75+$I$6,IF(F75="High",B75+$I$7,IF(F75="Medium",B75+$I$8,""))))</f>
        <v/>
      </c>
      <c r="L75" s="13"/>
      <c r="M75" s="13"/>
      <c r="N75" s="13"/>
      <c r="O75" s="14"/>
      <c r="P75" s="17" t="str">
        <f aca="false">IF(OR(D75&lt;&gt;"Security",M75="Closed",NOT(ISNUMBER(K75))),"",IF($I$9&gt;K75,"OVERDUE","Within deadline"))</f>
        <v/>
      </c>
    </row>
    <row r="76" customFormat="false" ht="15" hidden="false" customHeight="false" outlineLevel="0" collapsed="false">
      <c r="A76" s="13"/>
      <c r="B76" s="14"/>
      <c r="C76" s="13"/>
      <c r="D76" s="13"/>
      <c r="E76" s="13"/>
      <c r="F76" s="13"/>
      <c r="G76" s="13"/>
      <c r="H76" s="13"/>
      <c r="I76" s="13"/>
      <c r="J76" s="14"/>
      <c r="K76" s="47" t="str">
        <f aca="false">IF(OR(B76="",D76&lt;&gt;"Security"),"",IF(F76="Critical",B76+$I$6,IF(F76="High",B76+$I$7,IF(F76="Medium",B76+$I$8,""))))</f>
        <v/>
      </c>
      <c r="L76" s="13"/>
      <c r="M76" s="13"/>
      <c r="N76" s="13"/>
      <c r="O76" s="14"/>
      <c r="P76" s="17" t="str">
        <f aca="false">IF(OR(D76&lt;&gt;"Security",M76="Closed",NOT(ISNUMBER(K76))),"",IF($I$9&gt;K76,"OVERDUE","Within deadline"))</f>
        <v/>
      </c>
    </row>
    <row r="77" customFormat="false" ht="15" hidden="false" customHeight="false" outlineLevel="0" collapsed="false">
      <c r="A77" s="13"/>
      <c r="B77" s="14"/>
      <c r="C77" s="13"/>
      <c r="D77" s="13"/>
      <c r="E77" s="13"/>
      <c r="F77" s="13"/>
      <c r="G77" s="13"/>
      <c r="H77" s="13"/>
      <c r="I77" s="13"/>
      <c r="J77" s="14"/>
      <c r="K77" s="47" t="str">
        <f aca="false">IF(OR(B77="",D77&lt;&gt;"Security"),"",IF(F77="Critical",B77+$I$6,IF(F77="High",B77+$I$7,IF(F77="Medium",B77+$I$8,""))))</f>
        <v/>
      </c>
      <c r="L77" s="13"/>
      <c r="M77" s="13"/>
      <c r="N77" s="13"/>
      <c r="O77" s="14"/>
      <c r="P77" s="17" t="str">
        <f aca="false">IF(OR(D77&lt;&gt;"Security",M77="Closed",NOT(ISNUMBER(K77))),"",IF($I$9&gt;K77,"OVERDUE","Within deadline"))</f>
        <v/>
      </c>
    </row>
    <row r="78" customFormat="false" ht="15" hidden="false" customHeight="false" outlineLevel="0" collapsed="false">
      <c r="A78" s="13"/>
      <c r="B78" s="14"/>
      <c r="C78" s="13"/>
      <c r="D78" s="13"/>
      <c r="E78" s="13"/>
      <c r="F78" s="13"/>
      <c r="G78" s="13"/>
      <c r="H78" s="13"/>
      <c r="I78" s="13"/>
      <c r="J78" s="14"/>
      <c r="K78" s="47" t="str">
        <f aca="false">IF(OR(B78="",D78&lt;&gt;"Security"),"",IF(F78="Critical",B78+$I$6,IF(F78="High",B78+$I$7,IF(F78="Medium",B78+$I$8,""))))</f>
        <v/>
      </c>
      <c r="L78" s="13"/>
      <c r="M78" s="13"/>
      <c r="N78" s="13"/>
      <c r="O78" s="14"/>
      <c r="P78" s="17" t="str">
        <f aca="false">IF(OR(D78&lt;&gt;"Security",M78="Closed",NOT(ISNUMBER(K78))),"",IF($I$9&gt;K78,"OVERDUE","Within deadline"))</f>
        <v/>
      </c>
    </row>
    <row r="79" customFormat="false" ht="15" hidden="false" customHeight="false" outlineLevel="0" collapsed="false">
      <c r="A79" s="13"/>
      <c r="B79" s="14"/>
      <c r="C79" s="13"/>
      <c r="D79" s="13"/>
      <c r="E79" s="13"/>
      <c r="F79" s="13"/>
      <c r="G79" s="13"/>
      <c r="H79" s="13"/>
      <c r="I79" s="13"/>
      <c r="J79" s="14"/>
      <c r="K79" s="47" t="str">
        <f aca="false">IF(OR(B79="",D79&lt;&gt;"Security"),"",IF(F79="Critical",B79+$I$6,IF(F79="High",B79+$I$7,IF(F79="Medium",B79+$I$8,""))))</f>
        <v/>
      </c>
      <c r="L79" s="13"/>
      <c r="M79" s="13"/>
      <c r="N79" s="13"/>
      <c r="O79" s="14"/>
      <c r="P79" s="17" t="str">
        <f aca="false">IF(OR(D79&lt;&gt;"Security",M79="Closed",NOT(ISNUMBER(K79))),"",IF($I$9&gt;K79,"OVERDUE","Within deadline"))</f>
        <v/>
      </c>
    </row>
    <row r="80" customFormat="false" ht="15" hidden="false" customHeight="false" outlineLevel="0" collapsed="false">
      <c r="A80" s="13"/>
      <c r="B80" s="14"/>
      <c r="C80" s="13"/>
      <c r="D80" s="13"/>
      <c r="E80" s="13"/>
      <c r="F80" s="13"/>
      <c r="G80" s="13"/>
      <c r="H80" s="13"/>
      <c r="I80" s="13"/>
      <c r="J80" s="14"/>
      <c r="K80" s="47" t="str">
        <f aca="false">IF(OR(B80="",D80&lt;&gt;"Security"),"",IF(F80="Critical",B80+$I$6,IF(F80="High",B80+$I$7,IF(F80="Medium",B80+$I$8,""))))</f>
        <v/>
      </c>
      <c r="L80" s="13"/>
      <c r="M80" s="13"/>
      <c r="N80" s="13"/>
      <c r="O80" s="14"/>
      <c r="P80" s="17" t="str">
        <f aca="false">IF(OR(D80&lt;&gt;"Security",M80="Closed",NOT(ISNUMBER(K80))),"",IF($I$9&gt;K80,"OVERDUE","Within deadline"))</f>
        <v/>
      </c>
    </row>
    <row r="81" customFormat="false" ht="15" hidden="false" customHeight="false" outlineLevel="0" collapsed="false">
      <c r="A81" s="13"/>
      <c r="B81" s="14"/>
      <c r="C81" s="13"/>
      <c r="D81" s="13"/>
      <c r="E81" s="13"/>
      <c r="F81" s="13"/>
      <c r="G81" s="13"/>
      <c r="H81" s="13"/>
      <c r="I81" s="13"/>
      <c r="J81" s="14"/>
      <c r="K81" s="47" t="str">
        <f aca="false">IF(OR(B81="",D81&lt;&gt;"Security"),"",IF(F81="Critical",B81+$I$6,IF(F81="High",B81+$I$7,IF(F81="Medium",B81+$I$8,""))))</f>
        <v/>
      </c>
      <c r="L81" s="13"/>
      <c r="M81" s="13"/>
      <c r="N81" s="13"/>
      <c r="O81" s="14"/>
      <c r="P81" s="17" t="str">
        <f aca="false">IF(OR(D81&lt;&gt;"Security",M81="Closed",NOT(ISNUMBER(K81))),"",IF($I$9&gt;K81,"OVERDUE","Within deadline"))</f>
        <v/>
      </c>
    </row>
    <row r="82" customFormat="false" ht="15" hidden="false" customHeight="false" outlineLevel="0" collapsed="false">
      <c r="A82" s="13"/>
      <c r="B82" s="14"/>
      <c r="C82" s="13"/>
      <c r="D82" s="13"/>
      <c r="E82" s="13"/>
      <c r="F82" s="13"/>
      <c r="G82" s="13"/>
      <c r="H82" s="13"/>
      <c r="I82" s="13"/>
      <c r="J82" s="14"/>
      <c r="K82" s="47" t="str">
        <f aca="false">IF(OR(B82="",D82&lt;&gt;"Security"),"",IF(F82="Critical",B82+$I$6,IF(F82="High",B82+$I$7,IF(F82="Medium",B82+$I$8,""))))</f>
        <v/>
      </c>
      <c r="L82" s="13"/>
      <c r="M82" s="13"/>
      <c r="N82" s="13"/>
      <c r="O82" s="14"/>
      <c r="P82" s="17" t="str">
        <f aca="false">IF(OR(D82&lt;&gt;"Security",M82="Closed",NOT(ISNUMBER(K82))),"",IF($I$9&gt;K82,"OVERDUE","Within deadline"))</f>
        <v/>
      </c>
    </row>
    <row r="83" customFormat="false" ht="15" hidden="false" customHeight="false" outlineLevel="0" collapsed="false">
      <c r="A83" s="13"/>
      <c r="B83" s="14"/>
      <c r="C83" s="13"/>
      <c r="D83" s="13"/>
      <c r="E83" s="13"/>
      <c r="F83" s="13"/>
      <c r="G83" s="13"/>
      <c r="H83" s="13"/>
      <c r="I83" s="13"/>
      <c r="J83" s="14"/>
      <c r="K83" s="47" t="str">
        <f aca="false">IF(OR(B83="",D83&lt;&gt;"Security"),"",IF(F83="Critical",B83+$I$6,IF(F83="High",B83+$I$7,IF(F83="Medium",B83+$I$8,""))))</f>
        <v/>
      </c>
      <c r="L83" s="13"/>
      <c r="M83" s="13"/>
      <c r="N83" s="13"/>
      <c r="O83" s="14"/>
      <c r="P83" s="17" t="str">
        <f aca="false">IF(OR(D83&lt;&gt;"Security",M83="Closed",NOT(ISNUMBER(K83))),"",IF($I$9&gt;K83,"OVERDUE","Within deadline"))</f>
        <v/>
      </c>
    </row>
    <row r="84" customFormat="false" ht="15" hidden="false" customHeight="false" outlineLevel="0" collapsed="false">
      <c r="A84" s="13"/>
      <c r="B84" s="14"/>
      <c r="C84" s="13"/>
      <c r="D84" s="13"/>
      <c r="E84" s="13"/>
      <c r="F84" s="13"/>
      <c r="G84" s="13"/>
      <c r="H84" s="13"/>
      <c r="I84" s="13"/>
      <c r="J84" s="14"/>
      <c r="K84" s="47" t="str">
        <f aca="false">IF(OR(B84="",D84&lt;&gt;"Security"),"",IF(F84="Critical",B84+$I$6,IF(F84="High",B84+$I$7,IF(F84="Medium",B84+$I$8,""))))</f>
        <v/>
      </c>
      <c r="L84" s="13"/>
      <c r="M84" s="13"/>
      <c r="N84" s="13"/>
      <c r="O84" s="14"/>
      <c r="P84" s="17" t="str">
        <f aca="false">IF(OR(D84&lt;&gt;"Security",M84="Closed",NOT(ISNUMBER(K84))),"",IF($I$9&gt;K84,"OVERDUE","Within deadline"))</f>
        <v/>
      </c>
    </row>
    <row r="85" customFormat="false" ht="15" hidden="false" customHeight="false" outlineLevel="0" collapsed="false">
      <c r="A85" s="13"/>
      <c r="B85" s="14"/>
      <c r="C85" s="13"/>
      <c r="D85" s="13"/>
      <c r="E85" s="13"/>
      <c r="F85" s="13"/>
      <c r="G85" s="13"/>
      <c r="H85" s="13"/>
      <c r="I85" s="13"/>
      <c r="J85" s="14"/>
      <c r="K85" s="47" t="str">
        <f aca="false">IF(OR(B85="",D85&lt;&gt;"Security"),"",IF(F85="Critical",B85+$I$6,IF(F85="High",B85+$I$7,IF(F85="Medium",B85+$I$8,""))))</f>
        <v/>
      </c>
      <c r="L85" s="13"/>
      <c r="M85" s="13"/>
      <c r="N85" s="13"/>
      <c r="O85" s="14"/>
      <c r="P85" s="17" t="str">
        <f aca="false">IF(OR(D85&lt;&gt;"Security",M85="Closed",NOT(ISNUMBER(K85))),"",IF($I$9&gt;K85,"OVERDUE","Within deadline"))</f>
        <v/>
      </c>
    </row>
    <row r="86" customFormat="false" ht="15" hidden="false" customHeight="false" outlineLevel="0" collapsed="false">
      <c r="A86" s="13"/>
      <c r="B86" s="14"/>
      <c r="C86" s="13"/>
      <c r="D86" s="13"/>
      <c r="E86" s="13"/>
      <c r="F86" s="13"/>
      <c r="G86" s="13"/>
      <c r="H86" s="13"/>
      <c r="I86" s="13"/>
      <c r="J86" s="14"/>
      <c r="K86" s="47" t="str">
        <f aca="false">IF(OR(B86="",D86&lt;&gt;"Security"),"",IF(F86="Critical",B86+$I$6,IF(F86="High",B86+$I$7,IF(F86="Medium",B86+$I$8,""))))</f>
        <v/>
      </c>
      <c r="L86" s="13"/>
      <c r="M86" s="13"/>
      <c r="N86" s="13"/>
      <c r="O86" s="14"/>
      <c r="P86" s="17" t="str">
        <f aca="false">IF(OR(D86&lt;&gt;"Security",M86="Closed",NOT(ISNUMBER(K86))),"",IF($I$9&gt;K86,"OVERDUE","Within deadline"))</f>
        <v/>
      </c>
    </row>
    <row r="87" customFormat="false" ht="15" hidden="false" customHeight="false" outlineLevel="0" collapsed="false">
      <c r="A87" s="13"/>
      <c r="B87" s="14"/>
      <c r="C87" s="13"/>
      <c r="D87" s="13"/>
      <c r="E87" s="13"/>
      <c r="F87" s="13"/>
      <c r="G87" s="13"/>
      <c r="H87" s="13"/>
      <c r="I87" s="13"/>
      <c r="J87" s="14"/>
      <c r="K87" s="47" t="str">
        <f aca="false">IF(OR(B87="",D87&lt;&gt;"Security"),"",IF(F87="Critical",B87+$I$6,IF(F87="High",B87+$I$7,IF(F87="Medium",B87+$I$8,""))))</f>
        <v/>
      </c>
      <c r="L87" s="13"/>
      <c r="M87" s="13"/>
      <c r="N87" s="13"/>
      <c r="O87" s="14"/>
      <c r="P87" s="17" t="str">
        <f aca="false">IF(OR(D87&lt;&gt;"Security",M87="Closed",NOT(ISNUMBER(K87))),"",IF($I$9&gt;K87,"OVERDUE","Within deadline"))</f>
        <v/>
      </c>
    </row>
    <row r="88" customFormat="false" ht="15" hidden="false" customHeight="false" outlineLevel="0" collapsed="false">
      <c r="A88" s="13"/>
      <c r="B88" s="14"/>
      <c r="C88" s="13"/>
      <c r="D88" s="13"/>
      <c r="E88" s="13"/>
      <c r="F88" s="13"/>
      <c r="G88" s="13"/>
      <c r="H88" s="13"/>
      <c r="I88" s="13"/>
      <c r="J88" s="14"/>
      <c r="K88" s="47" t="str">
        <f aca="false">IF(OR(B88="",D88&lt;&gt;"Security"),"",IF(F88="Critical",B88+$I$6,IF(F88="High",B88+$I$7,IF(F88="Medium",B88+$I$8,""))))</f>
        <v/>
      </c>
      <c r="L88" s="13"/>
      <c r="M88" s="13"/>
      <c r="N88" s="13"/>
      <c r="O88" s="14"/>
      <c r="P88" s="17" t="str">
        <f aca="false">IF(OR(D88&lt;&gt;"Security",M88="Closed",NOT(ISNUMBER(K88))),"",IF($I$9&gt;K88,"OVERDUE","Within deadline"))</f>
        <v/>
      </c>
    </row>
    <row r="89" customFormat="false" ht="15" hidden="false" customHeight="false" outlineLevel="0" collapsed="false">
      <c r="A89" s="13"/>
      <c r="B89" s="14"/>
      <c r="C89" s="13"/>
      <c r="D89" s="13"/>
      <c r="E89" s="13"/>
      <c r="F89" s="13"/>
      <c r="G89" s="13"/>
      <c r="H89" s="13"/>
      <c r="I89" s="13"/>
      <c r="J89" s="14"/>
      <c r="K89" s="47" t="str">
        <f aca="false">IF(OR(B89="",D89&lt;&gt;"Security"),"",IF(F89="Critical",B89+$I$6,IF(F89="High",B89+$I$7,IF(F89="Medium",B89+$I$8,""))))</f>
        <v/>
      </c>
      <c r="L89" s="13"/>
      <c r="M89" s="13"/>
      <c r="N89" s="13"/>
      <c r="O89" s="14"/>
      <c r="P89" s="17" t="str">
        <f aca="false">IF(OR(D89&lt;&gt;"Security",M89="Closed",NOT(ISNUMBER(K89))),"",IF($I$9&gt;K89,"OVERDUE","Within deadline"))</f>
        <v/>
      </c>
    </row>
    <row r="90" customFormat="false" ht="15" hidden="false" customHeight="false" outlineLevel="0" collapsed="false">
      <c r="A90" s="13"/>
      <c r="B90" s="14"/>
      <c r="C90" s="13"/>
      <c r="D90" s="13"/>
      <c r="E90" s="13"/>
      <c r="F90" s="13"/>
      <c r="G90" s="13"/>
      <c r="H90" s="13"/>
      <c r="I90" s="13"/>
      <c r="J90" s="14"/>
      <c r="K90" s="47" t="str">
        <f aca="false">IF(OR(B90="",D90&lt;&gt;"Security"),"",IF(F90="Critical",B90+$I$6,IF(F90="High",B90+$I$7,IF(F90="Medium",B90+$I$8,""))))</f>
        <v/>
      </c>
      <c r="L90" s="13"/>
      <c r="M90" s="13"/>
      <c r="N90" s="13"/>
      <c r="O90" s="14"/>
      <c r="P90" s="17" t="str">
        <f aca="false">IF(OR(D90&lt;&gt;"Security",M90="Closed",NOT(ISNUMBER(K90))),"",IF($I$9&gt;K90,"OVERDUE","Within deadline"))</f>
        <v/>
      </c>
    </row>
    <row r="91" customFormat="false" ht="15" hidden="false" customHeight="false" outlineLevel="0" collapsed="false">
      <c r="A91" s="13"/>
      <c r="B91" s="14"/>
      <c r="C91" s="13"/>
      <c r="D91" s="13"/>
      <c r="E91" s="13"/>
      <c r="F91" s="13"/>
      <c r="G91" s="13"/>
      <c r="H91" s="13"/>
      <c r="I91" s="13"/>
      <c r="J91" s="14"/>
      <c r="K91" s="47" t="str">
        <f aca="false">IF(OR(B91="",D91&lt;&gt;"Security"),"",IF(F91="Critical",B91+$I$6,IF(F91="High",B91+$I$7,IF(F91="Medium",B91+$I$8,""))))</f>
        <v/>
      </c>
      <c r="L91" s="13"/>
      <c r="M91" s="13"/>
      <c r="N91" s="13"/>
      <c r="O91" s="14"/>
      <c r="P91" s="17" t="str">
        <f aca="false">IF(OR(D91&lt;&gt;"Security",M91="Closed",NOT(ISNUMBER(K91))),"",IF($I$9&gt;K91,"OVERDUE","Within deadline"))</f>
        <v/>
      </c>
    </row>
    <row r="92" customFormat="false" ht="15" hidden="false" customHeight="false" outlineLevel="0" collapsed="false">
      <c r="A92" s="13"/>
      <c r="B92" s="14"/>
      <c r="C92" s="13"/>
      <c r="D92" s="13"/>
      <c r="E92" s="13"/>
      <c r="F92" s="13"/>
      <c r="G92" s="13"/>
      <c r="H92" s="13"/>
      <c r="I92" s="13"/>
      <c r="J92" s="14"/>
      <c r="K92" s="47" t="str">
        <f aca="false">IF(OR(B92="",D92&lt;&gt;"Security"),"",IF(F92="Critical",B92+$I$6,IF(F92="High",B92+$I$7,IF(F92="Medium",B92+$I$8,""))))</f>
        <v/>
      </c>
      <c r="L92" s="13"/>
      <c r="M92" s="13"/>
      <c r="N92" s="13"/>
      <c r="O92" s="14"/>
      <c r="P92" s="17" t="str">
        <f aca="false">IF(OR(D92&lt;&gt;"Security",M92="Closed",NOT(ISNUMBER(K92))),"",IF($I$9&gt;K92,"OVERDUE","Within deadline"))</f>
        <v/>
      </c>
    </row>
    <row r="93" customFormat="false" ht="15" hidden="false" customHeight="false" outlineLevel="0" collapsed="false">
      <c r="A93" s="13"/>
      <c r="B93" s="14"/>
      <c r="C93" s="13"/>
      <c r="D93" s="13"/>
      <c r="E93" s="13"/>
      <c r="F93" s="13"/>
      <c r="G93" s="13"/>
      <c r="H93" s="13"/>
      <c r="I93" s="13"/>
      <c r="J93" s="14"/>
      <c r="K93" s="47" t="str">
        <f aca="false">IF(OR(B93="",D93&lt;&gt;"Security"),"",IF(F93="Critical",B93+$I$6,IF(F93="High",B93+$I$7,IF(F93="Medium",B93+$I$8,""))))</f>
        <v/>
      </c>
      <c r="L93" s="13"/>
      <c r="M93" s="13"/>
      <c r="N93" s="13"/>
      <c r="O93" s="14"/>
      <c r="P93" s="17" t="str">
        <f aca="false">IF(OR(D93&lt;&gt;"Security",M93="Closed",NOT(ISNUMBER(K93))),"",IF($I$9&gt;K93,"OVERDUE","Within deadline"))</f>
        <v/>
      </c>
    </row>
    <row r="94" customFormat="false" ht="15" hidden="false" customHeight="false" outlineLevel="0" collapsed="false">
      <c r="A94" s="13"/>
      <c r="B94" s="14"/>
      <c r="C94" s="13"/>
      <c r="D94" s="13"/>
      <c r="E94" s="13"/>
      <c r="F94" s="13"/>
      <c r="G94" s="13"/>
      <c r="H94" s="13"/>
      <c r="I94" s="13"/>
      <c r="J94" s="14"/>
      <c r="K94" s="47" t="str">
        <f aca="false">IF(OR(B94="",D94&lt;&gt;"Security"),"",IF(F94="Critical",B94+$I$6,IF(F94="High",B94+$I$7,IF(F94="Medium",B94+$I$8,""))))</f>
        <v/>
      </c>
      <c r="L94" s="13"/>
      <c r="M94" s="13"/>
      <c r="N94" s="13"/>
      <c r="O94" s="14"/>
      <c r="P94" s="17" t="str">
        <f aca="false">IF(OR(D94&lt;&gt;"Security",M94="Closed",NOT(ISNUMBER(K94))),"",IF($I$9&gt;K94,"OVERDUE","Within deadline"))</f>
        <v/>
      </c>
    </row>
    <row r="95" customFormat="false" ht="15" hidden="false" customHeight="false" outlineLevel="0" collapsed="false">
      <c r="A95" s="13"/>
      <c r="B95" s="14"/>
      <c r="C95" s="13"/>
      <c r="D95" s="13"/>
      <c r="E95" s="13"/>
      <c r="F95" s="13"/>
      <c r="G95" s="13"/>
      <c r="H95" s="13"/>
      <c r="I95" s="13"/>
      <c r="J95" s="14"/>
      <c r="K95" s="47" t="str">
        <f aca="false">IF(OR(B95="",D95&lt;&gt;"Security"),"",IF(F95="Critical",B95+$I$6,IF(F95="High",B95+$I$7,IF(F95="Medium",B95+$I$8,""))))</f>
        <v/>
      </c>
      <c r="L95" s="13"/>
      <c r="M95" s="13"/>
      <c r="N95" s="13"/>
      <c r="O95" s="14"/>
      <c r="P95" s="17" t="str">
        <f aca="false">IF(OR(D95&lt;&gt;"Security",M95="Closed",NOT(ISNUMBER(K95))),"",IF($I$9&gt;K95,"OVERDUE","Within deadline"))</f>
        <v/>
      </c>
    </row>
    <row r="96" customFormat="false" ht="15" hidden="false" customHeight="false" outlineLevel="0" collapsed="false">
      <c r="A96" s="13"/>
      <c r="B96" s="14"/>
      <c r="C96" s="13"/>
      <c r="D96" s="13"/>
      <c r="E96" s="13"/>
      <c r="F96" s="13"/>
      <c r="G96" s="13"/>
      <c r="H96" s="13"/>
      <c r="I96" s="13"/>
      <c r="J96" s="14"/>
      <c r="K96" s="47" t="str">
        <f aca="false">IF(OR(B96="",D96&lt;&gt;"Security"),"",IF(F96="Critical",B96+$I$6,IF(F96="High",B96+$I$7,IF(F96="Medium",B96+$I$8,""))))</f>
        <v/>
      </c>
      <c r="L96" s="13"/>
      <c r="M96" s="13"/>
      <c r="N96" s="13"/>
      <c r="O96" s="14"/>
      <c r="P96" s="17" t="str">
        <f aca="false">IF(OR(D96&lt;&gt;"Security",M96="Closed",NOT(ISNUMBER(K96))),"",IF($I$9&gt;K96,"OVERDUE","Within deadline"))</f>
        <v/>
      </c>
    </row>
    <row r="97" customFormat="false" ht="15" hidden="false" customHeight="false" outlineLevel="0" collapsed="false">
      <c r="A97" s="13"/>
      <c r="B97" s="14"/>
      <c r="C97" s="13"/>
      <c r="D97" s="13"/>
      <c r="E97" s="13"/>
      <c r="F97" s="13"/>
      <c r="G97" s="13"/>
      <c r="H97" s="13"/>
      <c r="I97" s="13"/>
      <c r="J97" s="14"/>
      <c r="K97" s="47" t="str">
        <f aca="false">IF(OR(B97="",D97&lt;&gt;"Security"),"",IF(F97="Critical",B97+$I$6,IF(F97="High",B97+$I$7,IF(F97="Medium",B97+$I$8,""))))</f>
        <v/>
      </c>
      <c r="L97" s="13"/>
      <c r="M97" s="13"/>
      <c r="N97" s="13"/>
      <c r="O97" s="14"/>
      <c r="P97" s="17" t="str">
        <f aca="false">IF(OR(D97&lt;&gt;"Security",M97="Closed",NOT(ISNUMBER(K97))),"",IF($I$9&gt;K97,"OVERDUE","Within deadline"))</f>
        <v/>
      </c>
    </row>
    <row r="98" customFormat="false" ht="15" hidden="false" customHeight="false" outlineLevel="0" collapsed="false">
      <c r="A98" s="13"/>
      <c r="B98" s="14"/>
      <c r="C98" s="13"/>
      <c r="D98" s="13"/>
      <c r="E98" s="13"/>
      <c r="F98" s="13"/>
      <c r="G98" s="13"/>
      <c r="H98" s="13"/>
      <c r="I98" s="13"/>
      <c r="J98" s="14"/>
      <c r="K98" s="47" t="str">
        <f aca="false">IF(OR(B98="",D98&lt;&gt;"Security"),"",IF(F98="Critical",B98+$I$6,IF(F98="High",B98+$I$7,IF(F98="Medium",B98+$I$8,""))))</f>
        <v/>
      </c>
      <c r="L98" s="13"/>
      <c r="M98" s="13"/>
      <c r="N98" s="13"/>
      <c r="O98" s="14"/>
      <c r="P98" s="17" t="str">
        <f aca="false">IF(OR(D98&lt;&gt;"Security",M98="Closed",NOT(ISNUMBER(K98))),"",IF($I$9&gt;K98,"OVERDUE","Within deadline"))</f>
        <v/>
      </c>
    </row>
    <row r="99" customFormat="false" ht="15" hidden="false" customHeight="false" outlineLevel="0" collapsed="false">
      <c r="A99" s="13"/>
      <c r="B99" s="14"/>
      <c r="C99" s="13"/>
      <c r="D99" s="13"/>
      <c r="E99" s="13"/>
      <c r="F99" s="13"/>
      <c r="G99" s="13"/>
      <c r="H99" s="13"/>
      <c r="I99" s="13"/>
      <c r="J99" s="14"/>
      <c r="K99" s="47" t="str">
        <f aca="false">IF(OR(B99="",D99&lt;&gt;"Security"),"",IF(F99="Critical",B99+$I$6,IF(F99="High",B99+$I$7,IF(F99="Medium",B99+$I$8,""))))</f>
        <v/>
      </c>
      <c r="L99" s="13"/>
      <c r="M99" s="13"/>
      <c r="N99" s="13"/>
      <c r="O99" s="14"/>
      <c r="P99" s="17" t="str">
        <f aca="false">IF(OR(D99&lt;&gt;"Security",M99="Closed",NOT(ISNUMBER(K99))),"",IF($I$9&gt;K99,"OVERDUE","Within deadline"))</f>
        <v/>
      </c>
    </row>
    <row r="100" customFormat="false" ht="15" hidden="false" customHeight="false" outlineLevel="0" collapsed="false">
      <c r="A100" s="13"/>
      <c r="B100" s="14"/>
      <c r="C100" s="13"/>
      <c r="D100" s="13"/>
      <c r="E100" s="13"/>
      <c r="F100" s="13"/>
      <c r="G100" s="13"/>
      <c r="H100" s="13"/>
      <c r="I100" s="13"/>
      <c r="J100" s="14"/>
      <c r="K100" s="47" t="str">
        <f aca="false">IF(OR(B100="",D100&lt;&gt;"Security"),"",IF(F100="Critical",B100+$I$6,IF(F100="High",B100+$I$7,IF(F100="Medium",B100+$I$8,""))))</f>
        <v/>
      </c>
      <c r="L100" s="13"/>
      <c r="M100" s="13"/>
      <c r="N100" s="13"/>
      <c r="O100" s="14"/>
      <c r="P100" s="17" t="str">
        <f aca="false">IF(OR(D100&lt;&gt;"Security",M100="Closed",NOT(ISNUMBER(K100))),"",IF($I$9&gt;K100,"OVERDUE","Within deadline"))</f>
        <v/>
      </c>
    </row>
    <row r="101" customFormat="false" ht="15" hidden="false" customHeight="false" outlineLevel="0" collapsed="false">
      <c r="A101" s="13"/>
      <c r="B101" s="14"/>
      <c r="C101" s="13"/>
      <c r="D101" s="13"/>
      <c r="E101" s="13"/>
      <c r="F101" s="13"/>
      <c r="G101" s="13"/>
      <c r="H101" s="13"/>
      <c r="I101" s="13"/>
      <c r="J101" s="14"/>
      <c r="K101" s="47" t="str">
        <f aca="false">IF(OR(B101="",D101&lt;&gt;"Security"),"",IF(F101="Critical",B101+$I$6,IF(F101="High",B101+$I$7,IF(F101="Medium",B101+$I$8,""))))</f>
        <v/>
      </c>
      <c r="L101" s="13"/>
      <c r="M101" s="13"/>
      <c r="N101" s="13"/>
      <c r="O101" s="14"/>
      <c r="P101" s="17" t="str">
        <f aca="false">IF(OR(D101&lt;&gt;"Security",M101="Closed",NOT(ISNUMBER(K101))),"",IF($I$9&gt;K101,"OVERDUE","Within deadline"))</f>
        <v/>
      </c>
    </row>
    <row r="102" customFormat="false" ht="15" hidden="false" customHeight="false" outlineLevel="0" collapsed="false">
      <c r="A102" s="13"/>
      <c r="B102" s="14"/>
      <c r="C102" s="13"/>
      <c r="D102" s="13"/>
      <c r="E102" s="13"/>
      <c r="F102" s="13"/>
      <c r="G102" s="13"/>
      <c r="H102" s="13"/>
      <c r="I102" s="13"/>
      <c r="J102" s="14"/>
      <c r="K102" s="47" t="str">
        <f aca="false">IF(OR(B102="",D102&lt;&gt;"Security"),"",IF(F102="Critical",B102+$I$6,IF(F102="High",B102+$I$7,IF(F102="Medium",B102+$I$8,""))))</f>
        <v/>
      </c>
      <c r="L102" s="13"/>
      <c r="M102" s="13"/>
      <c r="N102" s="13"/>
      <c r="O102" s="14"/>
      <c r="P102" s="17" t="str">
        <f aca="false">IF(OR(D102&lt;&gt;"Security",M102="Closed",NOT(ISNUMBER(K102))),"",IF($I$9&gt;K102,"OVERDUE","Within deadline"))</f>
        <v/>
      </c>
    </row>
    <row r="103" customFormat="false" ht="15" hidden="false" customHeight="false" outlineLevel="0" collapsed="false">
      <c r="A103" s="13"/>
      <c r="B103" s="14"/>
      <c r="C103" s="13"/>
      <c r="D103" s="13"/>
      <c r="E103" s="13"/>
      <c r="F103" s="13"/>
      <c r="G103" s="13"/>
      <c r="H103" s="13"/>
      <c r="I103" s="13"/>
      <c r="J103" s="14"/>
      <c r="K103" s="47" t="str">
        <f aca="false">IF(OR(B103="",D103&lt;&gt;"Security"),"",IF(F103="Critical",B103+$I$6,IF(F103="High",B103+$I$7,IF(F103="Medium",B103+$I$8,""))))</f>
        <v/>
      </c>
      <c r="L103" s="13"/>
      <c r="M103" s="13"/>
      <c r="N103" s="13"/>
      <c r="O103" s="14"/>
      <c r="P103" s="17" t="str">
        <f aca="false">IF(OR(D103&lt;&gt;"Security",M103="Closed",NOT(ISNUMBER(K103))),"",IF($I$9&gt;K103,"OVERDUE","Within deadline"))</f>
        <v/>
      </c>
    </row>
    <row r="104" customFormat="false" ht="15" hidden="false" customHeight="false" outlineLevel="0" collapsed="false">
      <c r="A104" s="13"/>
      <c r="B104" s="14"/>
      <c r="C104" s="13"/>
      <c r="D104" s="13"/>
      <c r="E104" s="13"/>
      <c r="F104" s="13"/>
      <c r="G104" s="13"/>
      <c r="H104" s="13"/>
      <c r="I104" s="13"/>
      <c r="J104" s="14"/>
      <c r="K104" s="47" t="str">
        <f aca="false">IF(OR(B104="",D104&lt;&gt;"Security"),"",IF(F104="Critical",B104+$I$6,IF(F104="High",B104+$I$7,IF(F104="Medium",B104+$I$8,""))))</f>
        <v/>
      </c>
      <c r="L104" s="13"/>
      <c r="M104" s="13"/>
      <c r="N104" s="13"/>
      <c r="O104" s="14"/>
      <c r="P104" s="17" t="str">
        <f aca="false">IF(OR(D104&lt;&gt;"Security",M104="Closed",NOT(ISNUMBER(K104))),"",IF($I$9&gt;K104,"OVERDUE","Within deadline"))</f>
        <v/>
      </c>
    </row>
    <row r="105" customFormat="false" ht="15" hidden="false" customHeight="false" outlineLevel="0" collapsed="false">
      <c r="A105" s="13"/>
      <c r="B105" s="14"/>
      <c r="C105" s="13"/>
      <c r="D105" s="13"/>
      <c r="E105" s="13"/>
      <c r="F105" s="13"/>
      <c r="G105" s="13"/>
      <c r="H105" s="13"/>
      <c r="I105" s="13"/>
      <c r="J105" s="14"/>
      <c r="K105" s="47" t="str">
        <f aca="false">IF(OR(B105="",D105&lt;&gt;"Security"),"",IF(F105="Critical",B105+$I$6,IF(F105="High",B105+$I$7,IF(F105="Medium",B105+$I$8,""))))</f>
        <v/>
      </c>
      <c r="L105" s="13"/>
      <c r="M105" s="13"/>
      <c r="N105" s="13"/>
      <c r="O105" s="14"/>
      <c r="P105" s="17" t="str">
        <f aca="false">IF(OR(D105&lt;&gt;"Security",M105="Closed",NOT(ISNUMBER(K105))),"",IF($I$9&gt;K105,"OVERDUE","Within deadline"))</f>
        <v/>
      </c>
    </row>
    <row r="106" customFormat="false" ht="15" hidden="false" customHeight="false" outlineLevel="0" collapsed="false">
      <c r="A106" s="13"/>
      <c r="B106" s="14"/>
      <c r="C106" s="13"/>
      <c r="D106" s="13"/>
      <c r="E106" s="13"/>
      <c r="F106" s="13"/>
      <c r="G106" s="13"/>
      <c r="H106" s="13"/>
      <c r="I106" s="13"/>
      <c r="J106" s="14"/>
      <c r="K106" s="47" t="str">
        <f aca="false">IF(OR(B106="",D106&lt;&gt;"Security"),"",IF(F106="Critical",B106+$I$6,IF(F106="High",B106+$I$7,IF(F106="Medium",B106+$I$8,""))))</f>
        <v/>
      </c>
      <c r="L106" s="13"/>
      <c r="M106" s="13"/>
      <c r="N106" s="13"/>
      <c r="O106" s="14"/>
      <c r="P106" s="17" t="str">
        <f aca="false">IF(OR(D106&lt;&gt;"Security",M106="Closed",NOT(ISNUMBER(K106))),"",IF($I$9&gt;K106,"OVERDUE","Within deadline"))</f>
        <v/>
      </c>
    </row>
    <row r="107" customFormat="false" ht="15" hidden="false" customHeight="false" outlineLevel="0" collapsed="false">
      <c r="A107" s="13"/>
      <c r="B107" s="14"/>
      <c r="C107" s="13"/>
      <c r="D107" s="13"/>
      <c r="E107" s="13"/>
      <c r="F107" s="13"/>
      <c r="G107" s="13"/>
      <c r="H107" s="13"/>
      <c r="I107" s="13"/>
      <c r="J107" s="14"/>
      <c r="K107" s="47" t="str">
        <f aca="false">IF(OR(B107="",D107&lt;&gt;"Security"),"",IF(F107="Critical",B107+$I$6,IF(F107="High",B107+$I$7,IF(F107="Medium",B107+$I$8,""))))</f>
        <v/>
      </c>
      <c r="L107" s="13"/>
      <c r="M107" s="13"/>
      <c r="N107" s="13"/>
      <c r="O107" s="14"/>
      <c r="P107" s="17" t="str">
        <f aca="false">IF(OR(D107&lt;&gt;"Security",M107="Closed",NOT(ISNUMBER(K107))),"",IF($I$9&gt;K107,"OVERDUE","Within deadline"))</f>
        <v/>
      </c>
    </row>
    <row r="108" customFormat="false" ht="15" hidden="false" customHeight="false" outlineLevel="0" collapsed="false">
      <c r="A108" s="13"/>
      <c r="B108" s="14"/>
      <c r="C108" s="13"/>
      <c r="D108" s="13"/>
      <c r="E108" s="13"/>
      <c r="F108" s="13"/>
      <c r="G108" s="13"/>
      <c r="H108" s="13"/>
      <c r="I108" s="13"/>
      <c r="J108" s="14"/>
      <c r="K108" s="47" t="str">
        <f aca="false">IF(OR(B108="",D108&lt;&gt;"Security"),"",IF(F108="Critical",B108+$I$6,IF(F108="High",B108+$I$7,IF(F108="Medium",B108+$I$8,""))))</f>
        <v/>
      </c>
      <c r="L108" s="13"/>
      <c r="M108" s="13"/>
      <c r="N108" s="13"/>
      <c r="O108" s="14"/>
      <c r="P108" s="17" t="str">
        <f aca="false">IF(OR(D108&lt;&gt;"Security",M108="Closed",NOT(ISNUMBER(K108))),"",IF($I$9&gt;K108,"OVERDUE","Within deadline"))</f>
        <v/>
      </c>
    </row>
    <row r="109" customFormat="false" ht="15" hidden="false" customHeight="false" outlineLevel="0" collapsed="false">
      <c r="A109" s="13"/>
      <c r="B109" s="14"/>
      <c r="C109" s="13"/>
      <c r="D109" s="13"/>
      <c r="E109" s="13"/>
      <c r="F109" s="13"/>
      <c r="G109" s="13"/>
      <c r="H109" s="13"/>
      <c r="I109" s="13"/>
      <c r="J109" s="14"/>
      <c r="K109" s="47" t="str">
        <f aca="false">IF(OR(B109="",D109&lt;&gt;"Security"),"",IF(F109="Critical",B109+$I$6,IF(F109="High",B109+$I$7,IF(F109="Medium",B109+$I$8,""))))</f>
        <v/>
      </c>
      <c r="L109" s="13"/>
      <c r="M109" s="13"/>
      <c r="N109" s="13"/>
      <c r="O109" s="14"/>
      <c r="P109" s="17" t="str">
        <f aca="false">IF(OR(D109&lt;&gt;"Security",M109="Closed",NOT(ISNUMBER(K109))),"",IF($I$9&gt;K109,"OVERDUE","Within deadline"))</f>
        <v/>
      </c>
    </row>
    <row r="110" customFormat="false" ht="15" hidden="false" customHeight="false" outlineLevel="0" collapsed="false">
      <c r="A110" s="13"/>
      <c r="B110" s="14"/>
      <c r="C110" s="13"/>
      <c r="D110" s="13"/>
      <c r="E110" s="13"/>
      <c r="F110" s="13"/>
      <c r="G110" s="13"/>
      <c r="H110" s="13"/>
      <c r="I110" s="13"/>
      <c r="J110" s="14"/>
      <c r="K110" s="47" t="str">
        <f aca="false">IF(OR(B110="",D110&lt;&gt;"Security"),"",IF(F110="Critical",B110+$I$6,IF(F110="High",B110+$I$7,IF(F110="Medium",B110+$I$8,""))))</f>
        <v/>
      </c>
      <c r="L110" s="13"/>
      <c r="M110" s="13"/>
      <c r="N110" s="13"/>
      <c r="O110" s="14"/>
      <c r="P110" s="17" t="str">
        <f aca="false">IF(OR(D110&lt;&gt;"Security",M110="Closed",NOT(ISNUMBER(K110))),"",IF($I$9&gt;K110,"OVERDUE","Within deadline"))</f>
        <v/>
      </c>
    </row>
    <row r="111" customFormat="false" ht="15" hidden="false" customHeight="false" outlineLevel="0" collapsed="false">
      <c r="A111" s="13"/>
      <c r="B111" s="14"/>
      <c r="C111" s="13"/>
      <c r="D111" s="13"/>
      <c r="E111" s="13"/>
      <c r="F111" s="13"/>
      <c r="G111" s="13"/>
      <c r="H111" s="13"/>
      <c r="I111" s="13"/>
      <c r="J111" s="14"/>
      <c r="K111" s="47" t="str">
        <f aca="false">IF(OR(B111="",D111&lt;&gt;"Security"),"",IF(F111="Critical",B111+$I$6,IF(F111="High",B111+$I$7,IF(F111="Medium",B111+$I$8,""))))</f>
        <v/>
      </c>
      <c r="L111" s="13"/>
      <c r="M111" s="13"/>
      <c r="N111" s="13"/>
      <c r="O111" s="14"/>
      <c r="P111" s="17" t="str">
        <f aca="false">IF(OR(D111&lt;&gt;"Security",M111="Closed",NOT(ISNUMBER(K111))),"",IF($I$9&gt;K111,"OVERDUE","Within deadline"))</f>
        <v/>
      </c>
    </row>
    <row r="112" customFormat="false" ht="15" hidden="false" customHeight="false" outlineLevel="0" collapsed="false">
      <c r="A112" s="13"/>
      <c r="B112" s="14"/>
      <c r="C112" s="13"/>
      <c r="D112" s="13"/>
      <c r="E112" s="13"/>
      <c r="F112" s="13"/>
      <c r="G112" s="13"/>
      <c r="H112" s="13"/>
      <c r="I112" s="13"/>
      <c r="J112" s="14"/>
      <c r="K112" s="47" t="str">
        <f aca="false">IF(OR(B112="",D112&lt;&gt;"Security"),"",IF(F112="Critical",B112+$I$6,IF(F112="High",B112+$I$7,IF(F112="Medium",B112+$I$8,""))))</f>
        <v/>
      </c>
      <c r="L112" s="13"/>
      <c r="M112" s="13"/>
      <c r="N112" s="13"/>
      <c r="O112" s="14"/>
      <c r="P112" s="17" t="str">
        <f aca="false">IF(OR(D112&lt;&gt;"Security",M112="Closed",NOT(ISNUMBER(K112))),"",IF($I$9&gt;K112,"OVERDUE","Within deadline"))</f>
        <v/>
      </c>
    </row>
    <row r="113" customFormat="false" ht="15" hidden="false" customHeight="false" outlineLevel="0" collapsed="false">
      <c r="A113" s="13"/>
      <c r="B113" s="14"/>
      <c r="C113" s="13"/>
      <c r="D113" s="13"/>
      <c r="E113" s="13"/>
      <c r="F113" s="13"/>
      <c r="G113" s="13"/>
      <c r="H113" s="13"/>
      <c r="I113" s="13"/>
      <c r="J113" s="14"/>
      <c r="K113" s="47" t="str">
        <f aca="false">IF(OR(B113="",D113&lt;&gt;"Security"),"",IF(F113="Critical",B113+$I$6,IF(F113="High",B113+$I$7,IF(F113="Medium",B113+$I$8,""))))</f>
        <v/>
      </c>
      <c r="L113" s="13"/>
      <c r="M113" s="13"/>
      <c r="N113" s="13"/>
      <c r="O113" s="14"/>
      <c r="P113" s="17" t="str">
        <f aca="false">IF(OR(D113&lt;&gt;"Security",M113="Closed",NOT(ISNUMBER(K113))),"",IF($I$9&gt;K113,"OVERDUE","Within deadline"))</f>
        <v/>
      </c>
    </row>
    <row r="114" customFormat="false" ht="15" hidden="false" customHeight="false" outlineLevel="0" collapsed="false">
      <c r="A114" s="13"/>
      <c r="B114" s="14"/>
      <c r="C114" s="13"/>
      <c r="D114" s="13"/>
      <c r="E114" s="13"/>
      <c r="F114" s="13"/>
      <c r="G114" s="13"/>
      <c r="H114" s="13"/>
      <c r="I114" s="13"/>
      <c r="J114" s="14"/>
      <c r="K114" s="47" t="str">
        <f aca="false">IF(OR(B114="",D114&lt;&gt;"Security"),"",IF(F114="Critical",B114+$I$6,IF(F114="High",B114+$I$7,IF(F114="Medium",B114+$I$8,""))))</f>
        <v/>
      </c>
      <c r="L114" s="13"/>
      <c r="M114" s="13"/>
      <c r="N114" s="13"/>
      <c r="O114" s="14"/>
      <c r="P114" s="17" t="str">
        <f aca="false">IF(OR(D114&lt;&gt;"Security",M114="Closed",NOT(ISNUMBER(K114))),"",IF($I$9&gt;K114,"OVERDUE","Within deadline"))</f>
        <v/>
      </c>
    </row>
    <row r="115" customFormat="false" ht="15" hidden="false" customHeight="false" outlineLevel="0" collapsed="false">
      <c r="A115" s="13"/>
      <c r="B115" s="14"/>
      <c r="C115" s="13"/>
      <c r="D115" s="13"/>
      <c r="E115" s="13"/>
      <c r="F115" s="13"/>
      <c r="G115" s="13"/>
      <c r="H115" s="13"/>
      <c r="I115" s="13"/>
      <c r="J115" s="14"/>
      <c r="K115" s="47" t="str">
        <f aca="false">IF(OR(B115="",D115&lt;&gt;"Security"),"",IF(F115="Critical",B115+$I$6,IF(F115="High",B115+$I$7,IF(F115="Medium",B115+$I$8,""))))</f>
        <v/>
      </c>
      <c r="L115" s="13"/>
      <c r="M115" s="13"/>
      <c r="N115" s="13"/>
      <c r="O115" s="14"/>
      <c r="P115" s="17" t="str">
        <f aca="false">IF(OR(D115&lt;&gt;"Security",M115="Closed",NOT(ISNUMBER(K115))),"",IF($I$9&gt;K115,"OVERDUE","Within deadline"))</f>
        <v/>
      </c>
    </row>
    <row r="116" customFormat="false" ht="15" hidden="false" customHeight="false" outlineLevel="0" collapsed="false">
      <c r="A116" s="13"/>
      <c r="B116" s="14"/>
      <c r="C116" s="13"/>
      <c r="D116" s="13"/>
      <c r="E116" s="13"/>
      <c r="F116" s="13"/>
      <c r="G116" s="13"/>
      <c r="H116" s="13"/>
      <c r="I116" s="13"/>
      <c r="J116" s="14"/>
      <c r="K116" s="47" t="str">
        <f aca="false">IF(OR(B116="",D116&lt;&gt;"Security"),"",IF(F116="Critical",B116+$I$6,IF(F116="High",B116+$I$7,IF(F116="Medium",B116+$I$8,""))))</f>
        <v/>
      </c>
      <c r="L116" s="13"/>
      <c r="M116" s="13"/>
      <c r="N116" s="13"/>
      <c r="O116" s="14"/>
      <c r="P116" s="17" t="str">
        <f aca="false">IF(OR(D116&lt;&gt;"Security",M116="Closed",NOT(ISNUMBER(K116))),"",IF($I$9&gt;K116,"OVERDUE","Within deadline"))</f>
        <v/>
      </c>
    </row>
    <row r="117" customFormat="false" ht="15" hidden="false" customHeight="false" outlineLevel="0" collapsed="false">
      <c r="A117" s="13"/>
      <c r="B117" s="14"/>
      <c r="C117" s="13"/>
      <c r="D117" s="13"/>
      <c r="E117" s="13"/>
      <c r="F117" s="13"/>
      <c r="G117" s="13"/>
      <c r="H117" s="13"/>
      <c r="I117" s="13"/>
      <c r="J117" s="14"/>
      <c r="K117" s="47" t="str">
        <f aca="false">IF(OR(B117="",D117&lt;&gt;"Security"),"",IF(F117="Critical",B117+$I$6,IF(F117="High",B117+$I$7,IF(F117="Medium",B117+$I$8,""))))</f>
        <v/>
      </c>
      <c r="L117" s="13"/>
      <c r="M117" s="13"/>
      <c r="N117" s="13"/>
      <c r="O117" s="14"/>
      <c r="P117" s="17" t="str">
        <f aca="false">IF(OR(D117&lt;&gt;"Security",M117="Closed",NOT(ISNUMBER(K117))),"",IF($I$9&gt;K117,"OVERDUE","Within deadline"))</f>
        <v/>
      </c>
    </row>
    <row r="118" customFormat="false" ht="15" hidden="false" customHeight="false" outlineLevel="0" collapsed="false">
      <c r="A118" s="13"/>
      <c r="B118" s="14"/>
      <c r="C118" s="13"/>
      <c r="D118" s="13"/>
      <c r="E118" s="13"/>
      <c r="F118" s="13"/>
      <c r="G118" s="13"/>
      <c r="H118" s="13"/>
      <c r="I118" s="13"/>
      <c r="J118" s="14"/>
      <c r="K118" s="47" t="str">
        <f aca="false">IF(OR(B118="",D118&lt;&gt;"Security"),"",IF(F118="Critical",B118+$I$6,IF(F118="High",B118+$I$7,IF(F118="Medium",B118+$I$8,""))))</f>
        <v/>
      </c>
      <c r="L118" s="13"/>
      <c r="M118" s="13"/>
      <c r="N118" s="13"/>
      <c r="O118" s="14"/>
      <c r="P118" s="17" t="str">
        <f aca="false">IF(OR(D118&lt;&gt;"Security",M118="Closed",NOT(ISNUMBER(K118))),"",IF($I$9&gt;K118,"OVERDUE","Within deadline"))</f>
        <v/>
      </c>
    </row>
    <row r="119" customFormat="false" ht="15" hidden="false" customHeight="false" outlineLevel="0" collapsed="false">
      <c r="A119" s="13"/>
      <c r="B119" s="14"/>
      <c r="C119" s="13"/>
      <c r="D119" s="13"/>
      <c r="E119" s="13"/>
      <c r="F119" s="13"/>
      <c r="G119" s="13"/>
      <c r="H119" s="13"/>
      <c r="I119" s="13"/>
      <c r="J119" s="14"/>
      <c r="K119" s="47" t="str">
        <f aca="false">IF(OR(B119="",D119&lt;&gt;"Security"),"",IF(F119="Critical",B119+$I$6,IF(F119="High",B119+$I$7,IF(F119="Medium",B119+$I$8,""))))</f>
        <v/>
      </c>
      <c r="L119" s="13"/>
      <c r="M119" s="13"/>
      <c r="N119" s="13"/>
      <c r="O119" s="14"/>
      <c r="P119" s="17" t="str">
        <f aca="false">IF(OR(D119&lt;&gt;"Security",M119="Closed",NOT(ISNUMBER(K119))),"",IF($I$9&gt;K119,"OVERDUE","Within deadline"))</f>
        <v/>
      </c>
    </row>
    <row r="120" customFormat="false" ht="15" hidden="false" customHeight="false" outlineLevel="0" collapsed="false">
      <c r="A120" s="13"/>
      <c r="B120" s="14"/>
      <c r="C120" s="13"/>
      <c r="D120" s="13"/>
      <c r="E120" s="13"/>
      <c r="F120" s="13"/>
      <c r="G120" s="13"/>
      <c r="H120" s="13"/>
      <c r="I120" s="13"/>
      <c r="J120" s="14"/>
      <c r="K120" s="47" t="str">
        <f aca="false">IF(OR(B120="",D120&lt;&gt;"Security"),"",IF(F120="Critical",B120+$I$6,IF(F120="High",B120+$I$7,IF(F120="Medium",B120+$I$8,""))))</f>
        <v/>
      </c>
      <c r="L120" s="13"/>
      <c r="M120" s="13"/>
      <c r="N120" s="13"/>
      <c r="O120" s="14"/>
      <c r="P120" s="17" t="str">
        <f aca="false">IF(OR(D120&lt;&gt;"Security",M120="Closed",NOT(ISNUMBER(K120))),"",IF($I$9&gt;K120,"OVERDUE","Within deadline"))</f>
        <v/>
      </c>
    </row>
    <row r="121" customFormat="false" ht="15" hidden="false" customHeight="false" outlineLevel="0" collapsed="false">
      <c r="A121" s="13"/>
      <c r="B121" s="14"/>
      <c r="C121" s="13"/>
      <c r="D121" s="13"/>
      <c r="E121" s="13"/>
      <c r="F121" s="13"/>
      <c r="G121" s="13"/>
      <c r="H121" s="13"/>
      <c r="I121" s="13"/>
      <c r="J121" s="14"/>
      <c r="K121" s="47" t="str">
        <f aca="false">IF(OR(B121="",D121&lt;&gt;"Security"),"",IF(F121="Critical",B121+$I$6,IF(F121="High",B121+$I$7,IF(F121="Medium",B121+$I$8,""))))</f>
        <v/>
      </c>
      <c r="L121" s="13"/>
      <c r="M121" s="13"/>
      <c r="N121" s="13"/>
      <c r="O121" s="14"/>
      <c r="P121" s="17" t="str">
        <f aca="false">IF(OR(D121&lt;&gt;"Security",M121="Closed",NOT(ISNUMBER(K121))),"",IF($I$9&gt;K121,"OVERDUE","Within deadline"))</f>
        <v/>
      </c>
    </row>
    <row r="122" customFormat="false" ht="15" hidden="false" customHeight="false" outlineLevel="0" collapsed="false">
      <c r="A122" s="13"/>
      <c r="B122" s="14"/>
      <c r="C122" s="13"/>
      <c r="D122" s="13"/>
      <c r="E122" s="13"/>
      <c r="F122" s="13"/>
      <c r="G122" s="13"/>
      <c r="H122" s="13"/>
      <c r="I122" s="13"/>
      <c r="J122" s="14"/>
      <c r="K122" s="47" t="str">
        <f aca="false">IF(OR(B122="",D122&lt;&gt;"Security"),"",IF(F122="Critical",B122+$I$6,IF(F122="High",B122+$I$7,IF(F122="Medium",B122+$I$8,""))))</f>
        <v/>
      </c>
      <c r="L122" s="13"/>
      <c r="M122" s="13"/>
      <c r="N122" s="13"/>
      <c r="O122" s="14"/>
      <c r="P122" s="17" t="str">
        <f aca="false">IF(OR(D122&lt;&gt;"Security",M122="Closed",NOT(ISNUMBER(K122))),"",IF($I$9&gt;K122,"OVERDUE","Within deadline"))</f>
        <v/>
      </c>
    </row>
    <row r="123" customFormat="false" ht="15" hidden="false" customHeight="false" outlineLevel="0" collapsed="false">
      <c r="A123" s="13"/>
      <c r="B123" s="14"/>
      <c r="C123" s="13"/>
      <c r="D123" s="13"/>
      <c r="E123" s="13"/>
      <c r="F123" s="13"/>
      <c r="G123" s="13"/>
      <c r="H123" s="13"/>
      <c r="I123" s="13"/>
      <c r="J123" s="14"/>
      <c r="K123" s="47" t="str">
        <f aca="false">IF(OR(B123="",D123&lt;&gt;"Security"),"",IF(F123="Critical",B123+$I$6,IF(F123="High",B123+$I$7,IF(F123="Medium",B123+$I$8,""))))</f>
        <v/>
      </c>
      <c r="L123" s="13"/>
      <c r="M123" s="13"/>
      <c r="N123" s="13"/>
      <c r="O123" s="14"/>
      <c r="P123" s="17" t="str">
        <f aca="false">IF(OR(D123&lt;&gt;"Security",M123="Closed",NOT(ISNUMBER(K123))),"",IF($I$9&gt;K123,"OVERDUE","Within deadline"))</f>
        <v/>
      </c>
    </row>
    <row r="124" customFormat="false" ht="15" hidden="false" customHeight="false" outlineLevel="0" collapsed="false">
      <c r="A124" s="13"/>
      <c r="B124" s="14"/>
      <c r="C124" s="13"/>
      <c r="D124" s="13"/>
      <c r="E124" s="13"/>
      <c r="F124" s="13"/>
      <c r="G124" s="13"/>
      <c r="H124" s="13"/>
      <c r="I124" s="13"/>
      <c r="J124" s="14"/>
      <c r="K124" s="47" t="str">
        <f aca="false">IF(OR(B124="",D124&lt;&gt;"Security"),"",IF(F124="Critical",B124+$I$6,IF(F124="High",B124+$I$7,IF(F124="Medium",B124+$I$8,""))))</f>
        <v/>
      </c>
      <c r="L124" s="13"/>
      <c r="M124" s="13"/>
      <c r="N124" s="13"/>
      <c r="O124" s="14"/>
      <c r="P124" s="17" t="str">
        <f aca="false">IF(OR(D124&lt;&gt;"Security",M124="Closed",NOT(ISNUMBER(K124))),"",IF($I$9&gt;K124,"OVERDUE","Within deadline"))</f>
        <v/>
      </c>
    </row>
    <row r="125" customFormat="false" ht="15" hidden="false" customHeight="false" outlineLevel="0" collapsed="false">
      <c r="A125" s="13"/>
      <c r="B125" s="14"/>
      <c r="C125" s="13"/>
      <c r="D125" s="13"/>
      <c r="E125" s="13"/>
      <c r="F125" s="13"/>
      <c r="G125" s="13"/>
      <c r="H125" s="13"/>
      <c r="I125" s="13"/>
      <c r="J125" s="14"/>
      <c r="K125" s="47" t="str">
        <f aca="false">IF(OR(B125="",D125&lt;&gt;"Security"),"",IF(F125="Critical",B125+$I$6,IF(F125="High",B125+$I$7,IF(F125="Medium",B125+$I$8,""))))</f>
        <v/>
      </c>
      <c r="L125" s="13"/>
      <c r="M125" s="13"/>
      <c r="N125" s="13"/>
      <c r="O125" s="14"/>
      <c r="P125" s="17" t="str">
        <f aca="false">IF(OR(D125&lt;&gt;"Security",M125="Closed",NOT(ISNUMBER(K125))),"",IF($I$9&gt;K125,"OVERDUE","Within deadline"))</f>
        <v/>
      </c>
    </row>
    <row r="126" customFormat="false" ht="15" hidden="false" customHeight="false" outlineLevel="0" collapsed="false">
      <c r="A126" s="13"/>
      <c r="B126" s="14"/>
      <c r="C126" s="13"/>
      <c r="D126" s="13"/>
      <c r="E126" s="13"/>
      <c r="F126" s="13"/>
      <c r="G126" s="13"/>
      <c r="H126" s="13"/>
      <c r="I126" s="13"/>
      <c r="J126" s="14"/>
      <c r="K126" s="47" t="str">
        <f aca="false">IF(OR(B126="",D126&lt;&gt;"Security"),"",IF(F126="Critical",B126+$I$6,IF(F126="High",B126+$I$7,IF(F126="Medium",B126+$I$8,""))))</f>
        <v/>
      </c>
      <c r="L126" s="13"/>
      <c r="M126" s="13"/>
      <c r="N126" s="13"/>
      <c r="O126" s="14"/>
      <c r="P126" s="17" t="str">
        <f aca="false">IF(OR(D126&lt;&gt;"Security",M126="Closed",NOT(ISNUMBER(K126))),"",IF($I$9&gt;K126,"OVERDUE","Within deadline"))</f>
        <v/>
      </c>
    </row>
    <row r="127" customFormat="false" ht="15" hidden="false" customHeight="false" outlineLevel="0" collapsed="false">
      <c r="A127" s="13"/>
      <c r="B127" s="14"/>
      <c r="C127" s="13"/>
      <c r="D127" s="13"/>
      <c r="E127" s="13"/>
      <c r="F127" s="13"/>
      <c r="G127" s="13"/>
      <c r="H127" s="13"/>
      <c r="I127" s="13"/>
      <c r="J127" s="14"/>
      <c r="K127" s="47" t="str">
        <f aca="false">IF(OR(B127="",D127&lt;&gt;"Security"),"",IF(F127="Critical",B127+$I$6,IF(F127="High",B127+$I$7,IF(F127="Medium",B127+$I$8,""))))</f>
        <v/>
      </c>
      <c r="L127" s="13"/>
      <c r="M127" s="13"/>
      <c r="N127" s="13"/>
      <c r="O127" s="14"/>
      <c r="P127" s="17" t="str">
        <f aca="false">IF(OR(D127&lt;&gt;"Security",M127="Closed",NOT(ISNUMBER(K127))),"",IF($I$9&gt;K127,"OVERDUE","Within deadline"))</f>
        <v/>
      </c>
    </row>
    <row r="128" customFormat="false" ht="15" hidden="false" customHeight="false" outlineLevel="0" collapsed="false">
      <c r="A128" s="13"/>
      <c r="B128" s="14"/>
      <c r="C128" s="13"/>
      <c r="D128" s="13"/>
      <c r="E128" s="13"/>
      <c r="F128" s="13"/>
      <c r="G128" s="13"/>
      <c r="H128" s="13"/>
      <c r="I128" s="13"/>
      <c r="J128" s="14"/>
      <c r="K128" s="47" t="str">
        <f aca="false">IF(OR(B128="",D128&lt;&gt;"Security"),"",IF(F128="Critical",B128+$I$6,IF(F128="High",B128+$I$7,IF(F128="Medium",B128+$I$8,""))))</f>
        <v/>
      </c>
      <c r="L128" s="13"/>
      <c r="M128" s="13"/>
      <c r="N128" s="13"/>
      <c r="O128" s="14"/>
      <c r="P128" s="17" t="str">
        <f aca="false">IF(OR(D128&lt;&gt;"Security",M128="Closed",NOT(ISNUMBER(K128))),"",IF($I$9&gt;K128,"OVERDUE","Within deadline"))</f>
        <v/>
      </c>
    </row>
    <row r="129" customFormat="false" ht="15" hidden="false" customHeight="false" outlineLevel="0" collapsed="false">
      <c r="A129" s="13"/>
      <c r="B129" s="14"/>
      <c r="C129" s="13"/>
      <c r="D129" s="13"/>
      <c r="E129" s="13"/>
      <c r="F129" s="13"/>
      <c r="G129" s="13"/>
      <c r="H129" s="13"/>
      <c r="I129" s="13"/>
      <c r="J129" s="14"/>
      <c r="K129" s="47" t="str">
        <f aca="false">IF(OR(B129="",D129&lt;&gt;"Security"),"",IF(F129="Critical",B129+$I$6,IF(F129="High",B129+$I$7,IF(F129="Medium",B129+$I$8,""))))</f>
        <v/>
      </c>
      <c r="L129" s="13"/>
      <c r="M129" s="13"/>
      <c r="N129" s="13"/>
      <c r="O129" s="14"/>
      <c r="P129" s="17" t="str">
        <f aca="false">IF(OR(D129&lt;&gt;"Security",M129="Closed",NOT(ISNUMBER(K129))),"",IF($I$9&gt;K129,"OVERDUE","Within deadline"))</f>
        <v/>
      </c>
    </row>
    <row r="130" customFormat="false" ht="15" hidden="false" customHeight="false" outlineLevel="0" collapsed="false">
      <c r="A130" s="13"/>
      <c r="B130" s="14"/>
      <c r="C130" s="13"/>
      <c r="D130" s="13"/>
      <c r="E130" s="13"/>
      <c r="F130" s="13"/>
      <c r="G130" s="13"/>
      <c r="H130" s="13"/>
      <c r="I130" s="13"/>
      <c r="J130" s="14"/>
      <c r="K130" s="47" t="str">
        <f aca="false">IF(OR(B130="",D130&lt;&gt;"Security"),"",IF(F130="Critical",B130+$I$6,IF(F130="High",B130+$I$7,IF(F130="Medium",B130+$I$8,""))))</f>
        <v/>
      </c>
      <c r="L130" s="13"/>
      <c r="M130" s="13"/>
      <c r="N130" s="13"/>
      <c r="O130" s="14"/>
      <c r="P130" s="17" t="str">
        <f aca="false">IF(OR(D130&lt;&gt;"Security",M130="Closed",NOT(ISNUMBER(K130))),"",IF($I$9&gt;K130,"OVERDUE","Within deadline"))</f>
        <v/>
      </c>
    </row>
    <row r="131" customFormat="false" ht="15" hidden="false" customHeight="false" outlineLevel="0" collapsed="false">
      <c r="A131" s="13"/>
      <c r="B131" s="14"/>
      <c r="C131" s="13"/>
      <c r="D131" s="13"/>
      <c r="E131" s="13"/>
      <c r="F131" s="13"/>
      <c r="G131" s="13"/>
      <c r="H131" s="13"/>
      <c r="I131" s="13"/>
      <c r="J131" s="14"/>
      <c r="K131" s="47" t="str">
        <f aca="false">IF(OR(B131="",D131&lt;&gt;"Security"),"",IF(F131="Critical",B131+$I$6,IF(F131="High",B131+$I$7,IF(F131="Medium",B131+$I$8,""))))</f>
        <v/>
      </c>
      <c r="L131" s="13"/>
      <c r="M131" s="13"/>
      <c r="N131" s="13"/>
      <c r="O131" s="14"/>
      <c r="P131" s="17" t="str">
        <f aca="false">IF(OR(D131&lt;&gt;"Security",M131="Closed",NOT(ISNUMBER(K131))),"",IF($I$9&gt;K131,"OVERDUE","Within deadline"))</f>
        <v/>
      </c>
    </row>
    <row r="132" customFormat="false" ht="15" hidden="false" customHeight="false" outlineLevel="0" collapsed="false">
      <c r="A132" s="13"/>
      <c r="B132" s="14"/>
      <c r="C132" s="13"/>
      <c r="D132" s="13"/>
      <c r="E132" s="13"/>
      <c r="F132" s="13"/>
      <c r="G132" s="13"/>
      <c r="H132" s="13"/>
      <c r="I132" s="13"/>
      <c r="J132" s="14"/>
      <c r="K132" s="47" t="str">
        <f aca="false">IF(OR(B132="",D132&lt;&gt;"Security"),"",IF(F132="Critical",B132+$I$6,IF(F132="High",B132+$I$7,IF(F132="Medium",B132+$I$8,""))))</f>
        <v/>
      </c>
      <c r="L132" s="13"/>
      <c r="M132" s="13"/>
      <c r="N132" s="13"/>
      <c r="O132" s="14"/>
      <c r="P132" s="17" t="str">
        <f aca="false">IF(OR(D132&lt;&gt;"Security",M132="Closed",NOT(ISNUMBER(K132))),"",IF($I$9&gt;K132,"OVERDUE","Within deadline"))</f>
        <v/>
      </c>
    </row>
    <row r="133" customFormat="false" ht="15" hidden="false" customHeight="false" outlineLevel="0" collapsed="false">
      <c r="A133" s="13"/>
      <c r="B133" s="14"/>
      <c r="C133" s="13"/>
      <c r="D133" s="13"/>
      <c r="E133" s="13"/>
      <c r="F133" s="13"/>
      <c r="G133" s="13"/>
      <c r="H133" s="13"/>
      <c r="I133" s="13"/>
      <c r="J133" s="14"/>
      <c r="K133" s="47" t="str">
        <f aca="false">IF(OR(B133="",D133&lt;&gt;"Security"),"",IF(F133="Critical",B133+$I$6,IF(F133="High",B133+$I$7,IF(F133="Medium",B133+$I$8,""))))</f>
        <v/>
      </c>
      <c r="L133" s="13"/>
      <c r="M133" s="13"/>
      <c r="N133" s="13"/>
      <c r="O133" s="14"/>
      <c r="P133" s="17" t="str">
        <f aca="false">IF(OR(D133&lt;&gt;"Security",M133="Closed",NOT(ISNUMBER(K133))),"",IF($I$9&gt;K133,"OVERDUE","Within deadline"))</f>
        <v/>
      </c>
    </row>
    <row r="134" customFormat="false" ht="15" hidden="false" customHeight="false" outlineLevel="0" collapsed="false">
      <c r="A134" s="13"/>
      <c r="B134" s="14"/>
      <c r="C134" s="13"/>
      <c r="D134" s="13"/>
      <c r="E134" s="13"/>
      <c r="F134" s="13"/>
      <c r="G134" s="13"/>
      <c r="H134" s="13"/>
      <c r="I134" s="13"/>
      <c r="J134" s="14"/>
      <c r="K134" s="47" t="str">
        <f aca="false">IF(OR(B134="",D134&lt;&gt;"Security"),"",IF(F134="Critical",B134+$I$6,IF(F134="High",B134+$I$7,IF(F134="Medium",B134+$I$8,""))))</f>
        <v/>
      </c>
      <c r="L134" s="13"/>
      <c r="M134" s="13"/>
      <c r="N134" s="13"/>
      <c r="O134" s="14"/>
      <c r="P134" s="17" t="str">
        <f aca="false">IF(OR(D134&lt;&gt;"Security",M134="Closed",NOT(ISNUMBER(K134))),"",IF($I$9&gt;K134,"OVERDUE","Within deadline"))</f>
        <v/>
      </c>
    </row>
    <row r="135" customFormat="false" ht="15" hidden="false" customHeight="false" outlineLevel="0" collapsed="false">
      <c r="A135" s="13"/>
      <c r="B135" s="14"/>
      <c r="C135" s="13"/>
      <c r="D135" s="13"/>
      <c r="E135" s="13"/>
      <c r="F135" s="13"/>
      <c r="G135" s="13"/>
      <c r="H135" s="13"/>
      <c r="I135" s="13"/>
      <c r="J135" s="14"/>
      <c r="K135" s="47" t="str">
        <f aca="false">IF(OR(B135="",D135&lt;&gt;"Security"),"",IF(F135="Critical",B135+$I$6,IF(F135="High",B135+$I$7,IF(F135="Medium",B135+$I$8,""))))</f>
        <v/>
      </c>
      <c r="L135" s="13"/>
      <c r="M135" s="13"/>
      <c r="N135" s="13"/>
      <c r="O135" s="14"/>
      <c r="P135" s="17" t="str">
        <f aca="false">IF(OR(D135&lt;&gt;"Security",M135="Closed",NOT(ISNUMBER(K135))),"",IF($I$9&gt;K135,"OVERDUE","Within deadline"))</f>
        <v/>
      </c>
    </row>
    <row r="136" customFormat="false" ht="15" hidden="false" customHeight="false" outlineLevel="0" collapsed="false">
      <c r="A136" s="13"/>
      <c r="B136" s="14"/>
      <c r="C136" s="13"/>
      <c r="D136" s="13"/>
      <c r="E136" s="13"/>
      <c r="F136" s="13"/>
      <c r="G136" s="13"/>
      <c r="H136" s="13"/>
      <c r="I136" s="13"/>
      <c r="J136" s="14"/>
      <c r="K136" s="47" t="str">
        <f aca="false">IF(OR(B136="",D136&lt;&gt;"Security"),"",IF(F136="Critical",B136+$I$6,IF(F136="High",B136+$I$7,IF(F136="Medium",B136+$I$8,""))))</f>
        <v/>
      </c>
      <c r="L136" s="13"/>
      <c r="M136" s="13"/>
      <c r="N136" s="13"/>
      <c r="O136" s="14"/>
      <c r="P136" s="17" t="str">
        <f aca="false">IF(OR(D136&lt;&gt;"Security",M136="Closed",NOT(ISNUMBER(K136))),"",IF($I$9&gt;K136,"OVERDUE","Within deadline"))</f>
        <v/>
      </c>
    </row>
    <row r="137" customFormat="false" ht="15" hidden="false" customHeight="false" outlineLevel="0" collapsed="false">
      <c r="A137" s="13"/>
      <c r="B137" s="14"/>
      <c r="C137" s="13"/>
      <c r="D137" s="13"/>
      <c r="E137" s="13"/>
      <c r="F137" s="13"/>
      <c r="G137" s="13"/>
      <c r="H137" s="13"/>
      <c r="I137" s="13"/>
      <c r="J137" s="14"/>
      <c r="K137" s="47" t="str">
        <f aca="false">IF(OR(B137="",D137&lt;&gt;"Security"),"",IF(F137="Critical",B137+$I$6,IF(F137="High",B137+$I$7,IF(F137="Medium",B137+$I$8,""))))</f>
        <v/>
      </c>
      <c r="L137" s="13"/>
      <c r="M137" s="13"/>
      <c r="N137" s="13"/>
      <c r="O137" s="14"/>
      <c r="P137" s="17" t="str">
        <f aca="false">IF(OR(D137&lt;&gt;"Security",M137="Closed",NOT(ISNUMBER(K137))),"",IF($I$9&gt;K137,"OVERDUE","Within deadline"))</f>
        <v/>
      </c>
    </row>
  </sheetData>
  <dataValidations count="7">
    <dataValidation allowBlank="true" errorStyle="stop" operator="between" showDropDown="false" showErrorMessage="false" showInputMessage="false" sqref="D18:D137" type="list">
      <formula1>"Functional,Security"</formula1>
      <formula2>0</formula2>
    </dataValidation>
    <dataValidation allowBlank="true" errorStyle="stop" operator="between" showDropDown="false" showErrorMessage="false" showInputMessage="false" sqref="F18:F137" type="list">
      <formula1>IF($D18="Security",$S$6:$S$9,$R$6:$R$9)</formula1>
      <formula2>0</formula2>
    </dataValidation>
    <dataValidation allowBlank="true" errorStyle="stop" operator="between" showDropDown="false" showErrorMessage="false" showInputMessage="false" sqref="L18:L137" type="list">
      <formula1>"Y,N"</formula1>
      <formula2>0</formula2>
    </dataValidation>
    <dataValidation allowBlank="true" errorStyle="stop" operator="between" showDropDown="false" showErrorMessage="false" showInputMessage="false" sqref="M18:M137" type="list">
      <formula1>"Open,In progress,Ready for retest,Closed,Accepted risk"</formula1>
      <formula2>0</formula2>
    </dataValidation>
    <dataValidation type="date" operator="greaterThanOrEqual" allowBlank="true" showDropDown="false" showInputMessage="true" showErrorMessage="true" errorTitle="Enter a date" error="Enter a real date (yyyy-mm-dd), not text. Formulas that use this date fail silently on text." sqref="B17:B137">
      <formula1>1</formula1>
    </dataValidation>
    <dataValidation type="date" operator="greaterThanOrEqual" allowBlank="true" showDropDown="false" showInputMessage="true" showErrorMessage="true" errorTitle="Enter a date" error="Enter a real date (yyyy-mm-dd), not text. Formulas that use this date fail silently on text." sqref="J17:J137">
      <formula1>1</formula1>
    </dataValidation>
    <dataValidation type="date" operator="greaterThanOrEqual" allowBlank="true" showDropDown="false" showInputMessage="true" showErrorMessage="true" errorTitle="Enter a date" error="Enter a real date (yyyy-mm-dd), not text. Formulas that use this date fail silently on text." sqref="O17:O137">
      <formula1>1</formula1>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H4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70"/>
    <col collapsed="false" customWidth="true" hidden="false" outlineLevel="0" max="2" min="2" style="0" width="60"/>
    <col collapsed="false" customWidth="true" hidden="false" outlineLevel="0" max="3" min="3" style="0" width="20"/>
    <col collapsed="false" customWidth="true" hidden="false" outlineLevel="0" max="4" min="4" style="0" width="34"/>
    <col collapsed="false" customWidth="true" hidden="false" outlineLevel="0" max="5" min="5" style="0" width="28"/>
    <col collapsed="false" customWidth="true" hidden="false" outlineLevel="0" max="7" min="6" style="0" width="18"/>
    <col collapsed="false" customWidth="true" hidden="false" outlineLevel="0" max="8" min="8" style="0" width="13"/>
  </cols>
  <sheetData>
    <row r="1" customFormat="false" ht="17.35" hidden="false" customHeight="false" outlineLevel="0" collapsed="false">
      <c r="A1" s="10" t="s">
        <v>1294</v>
      </c>
    </row>
    <row r="2" customFormat="false" ht="15" hidden="false" customHeight="false" outlineLevel="0" collapsed="false">
      <c r="A2" s="11" t="s">
        <v>1295</v>
      </c>
    </row>
    <row r="3" customFormat="false" ht="15" hidden="false" customHeight="false" outlineLevel="0" collapsed="false">
      <c r="A3" s="9" t="s">
        <v>134</v>
      </c>
    </row>
    <row r="5" customFormat="false" ht="30" hidden="false" customHeight="true" outlineLevel="0" collapsed="false">
      <c r="A5" s="6" t="s">
        <v>1296</v>
      </c>
      <c r="B5" s="6" t="s">
        <v>1297</v>
      </c>
    </row>
    <row r="6" customFormat="false" ht="30" hidden="false" customHeight="true" outlineLevel="0" collapsed="false">
      <c r="A6" s="12" t="s">
        <v>1298</v>
      </c>
      <c r="B6" s="13"/>
    </row>
    <row r="7" customFormat="false" ht="30" hidden="false" customHeight="true" outlineLevel="0" collapsed="false">
      <c r="A7" s="12" t="s">
        <v>1299</v>
      </c>
      <c r="B7" s="13"/>
    </row>
    <row r="8" customFormat="false" ht="30" hidden="false" customHeight="true" outlineLevel="0" collapsed="false">
      <c r="A8" s="12" t="s">
        <v>1300</v>
      </c>
      <c r="B8" s="13"/>
    </row>
    <row r="9" customFormat="false" ht="30" hidden="false" customHeight="true" outlineLevel="0" collapsed="false">
      <c r="A9" s="12" t="s">
        <v>1301</v>
      </c>
      <c r="B9" s="13"/>
    </row>
    <row r="10" customFormat="false" ht="30" hidden="false" customHeight="true" outlineLevel="0" collapsed="false">
      <c r="A10" s="12" t="s">
        <v>1302</v>
      </c>
      <c r="B10" s="13"/>
    </row>
    <row r="11" customFormat="false" ht="30" hidden="false" customHeight="true" outlineLevel="0" collapsed="false">
      <c r="A11" s="12" t="s">
        <v>1303</v>
      </c>
      <c r="B11" s="13"/>
    </row>
    <row r="12" customFormat="false" ht="30" hidden="false" customHeight="true" outlineLevel="0" collapsed="false">
      <c r="A12" s="12" t="s">
        <v>1304</v>
      </c>
      <c r="B12" s="13"/>
    </row>
    <row r="13" customFormat="false" ht="30" hidden="false" customHeight="true" outlineLevel="0" collapsed="false">
      <c r="A13" s="12" t="s">
        <v>1305</v>
      </c>
      <c r="B13" s="13"/>
    </row>
    <row r="14" customFormat="false" ht="30" hidden="false" customHeight="true" outlineLevel="0" collapsed="false">
      <c r="A14" s="12" t="s">
        <v>1306</v>
      </c>
      <c r="B14" s="13"/>
    </row>
    <row r="15" customFormat="false" ht="30" hidden="false" customHeight="true" outlineLevel="0" collapsed="false">
      <c r="A15" s="12" t="s">
        <v>1307</v>
      </c>
      <c r="B15" s="13"/>
    </row>
    <row r="16" customFormat="false" ht="30" hidden="false" customHeight="true" outlineLevel="0" collapsed="false">
      <c r="A16" s="12" t="s">
        <v>1308</v>
      </c>
      <c r="B16" s="13"/>
    </row>
    <row r="17" customFormat="false" ht="30" hidden="false" customHeight="true" outlineLevel="0" collapsed="false">
      <c r="A17" s="12" t="s">
        <v>1309</v>
      </c>
      <c r="B17" s="13"/>
    </row>
    <row r="18" customFormat="false" ht="30" hidden="false" customHeight="true" outlineLevel="0" collapsed="false">
      <c r="A18" s="12" t="s">
        <v>1310</v>
      </c>
      <c r="B18" s="13"/>
    </row>
    <row r="19" customFormat="false" ht="30" hidden="false" customHeight="true" outlineLevel="0" collapsed="false">
      <c r="A19" s="12" t="s">
        <v>1311</v>
      </c>
      <c r="B19" s="13"/>
    </row>
    <row r="21" customFormat="false" ht="15" hidden="false" customHeight="false" outlineLevel="0" collapsed="false">
      <c r="A21" s="16" t="s">
        <v>1312</v>
      </c>
    </row>
    <row r="22" customFormat="false" ht="30" hidden="false" customHeight="true" outlineLevel="0" collapsed="false">
      <c r="A22" s="6" t="s">
        <v>1313</v>
      </c>
      <c r="B22" s="6" t="s">
        <v>943</v>
      </c>
      <c r="C22" s="6" t="s">
        <v>1314</v>
      </c>
      <c r="D22" s="6" t="s">
        <v>1315</v>
      </c>
      <c r="E22" s="6" t="s">
        <v>1316</v>
      </c>
      <c r="F22" s="6" t="s">
        <v>1317</v>
      </c>
      <c r="G22" s="6" t="s">
        <v>1318</v>
      </c>
      <c r="H22" s="6" t="s">
        <v>1319</v>
      </c>
    </row>
    <row r="23" customFormat="false" ht="15" hidden="false" customHeight="false" outlineLevel="0" collapsed="false">
      <c r="A23" s="36" t="n">
        <v>1</v>
      </c>
      <c r="B23" s="14"/>
      <c r="C23" s="13"/>
      <c r="D23" s="13"/>
      <c r="E23" s="13"/>
      <c r="F23" s="13"/>
      <c r="G23" s="13"/>
      <c r="H23" s="14"/>
    </row>
    <row r="24" customFormat="false" ht="15" hidden="false" customHeight="false" outlineLevel="0" collapsed="false">
      <c r="A24" s="36" t="n">
        <v>2</v>
      </c>
      <c r="B24" s="14"/>
      <c r="C24" s="13"/>
      <c r="D24" s="13"/>
      <c r="E24" s="13"/>
      <c r="F24" s="13"/>
      <c r="G24" s="13"/>
      <c r="H24" s="14"/>
    </row>
    <row r="25" customFormat="false" ht="15" hidden="false" customHeight="false" outlineLevel="0" collapsed="false">
      <c r="A25" s="36" t="n">
        <v>3</v>
      </c>
      <c r="B25" s="14"/>
      <c r="C25" s="13"/>
      <c r="D25" s="13"/>
      <c r="E25" s="13"/>
      <c r="F25" s="13"/>
      <c r="G25" s="13"/>
      <c r="H25" s="14"/>
    </row>
    <row r="26" customFormat="false" ht="15" hidden="false" customHeight="false" outlineLevel="0" collapsed="false">
      <c r="A26" s="36" t="n">
        <v>4</v>
      </c>
      <c r="B26" s="14"/>
      <c r="C26" s="13"/>
      <c r="D26" s="13"/>
      <c r="E26" s="13"/>
      <c r="F26" s="13"/>
      <c r="G26" s="13"/>
      <c r="H26" s="14"/>
    </row>
    <row r="27" customFormat="false" ht="15" hidden="false" customHeight="false" outlineLevel="0" collapsed="false">
      <c r="A27" s="36" t="n">
        <v>5</v>
      </c>
      <c r="B27" s="14"/>
      <c r="C27" s="13"/>
      <c r="D27" s="13"/>
      <c r="E27" s="13"/>
      <c r="F27" s="13"/>
      <c r="G27" s="13"/>
      <c r="H27" s="14"/>
    </row>
    <row r="28" customFormat="false" ht="15" hidden="false" customHeight="false" outlineLevel="0" collapsed="false">
      <c r="A28" s="36" t="n">
        <v>6</v>
      </c>
      <c r="B28" s="14"/>
      <c r="C28" s="13"/>
      <c r="D28" s="13"/>
      <c r="E28" s="13"/>
      <c r="F28" s="13"/>
      <c r="G28" s="13"/>
      <c r="H28" s="14"/>
    </row>
    <row r="29" customFormat="false" ht="15" hidden="false" customHeight="false" outlineLevel="0" collapsed="false">
      <c r="A29" s="36" t="n">
        <v>7</v>
      </c>
      <c r="B29" s="14"/>
      <c r="C29" s="13"/>
      <c r="D29" s="13"/>
      <c r="E29" s="13"/>
      <c r="F29" s="13"/>
      <c r="G29" s="13"/>
      <c r="H29" s="14"/>
    </row>
    <row r="30" customFormat="false" ht="15" hidden="false" customHeight="false" outlineLevel="0" collapsed="false">
      <c r="A30" s="36" t="n">
        <v>8</v>
      </c>
      <c r="B30" s="14"/>
      <c r="C30" s="13"/>
      <c r="D30" s="13"/>
      <c r="E30" s="13"/>
      <c r="F30" s="13"/>
      <c r="G30" s="13"/>
      <c r="H30" s="14"/>
    </row>
    <row r="31" customFormat="false" ht="15" hidden="false" customHeight="false" outlineLevel="0" collapsed="false">
      <c r="A31" s="36" t="n">
        <v>9</v>
      </c>
      <c r="B31" s="14"/>
      <c r="C31" s="13"/>
      <c r="D31" s="13"/>
      <c r="E31" s="13"/>
      <c r="F31" s="13"/>
      <c r="G31" s="13"/>
      <c r="H31" s="14"/>
    </row>
    <row r="32" customFormat="false" ht="15" hidden="false" customHeight="false" outlineLevel="0" collapsed="false">
      <c r="A32" s="36" t="n">
        <v>10</v>
      </c>
      <c r="B32" s="14"/>
      <c r="C32" s="13"/>
      <c r="D32" s="13"/>
      <c r="E32" s="13"/>
      <c r="F32" s="13"/>
      <c r="G32" s="13"/>
      <c r="H32" s="14"/>
    </row>
    <row r="33" customFormat="false" ht="15" hidden="false" customHeight="false" outlineLevel="0" collapsed="false">
      <c r="A33" s="36" t="n">
        <v>11</v>
      </c>
      <c r="B33" s="14"/>
      <c r="C33" s="13"/>
      <c r="D33" s="13"/>
      <c r="E33" s="13"/>
      <c r="F33" s="13"/>
      <c r="G33" s="13"/>
      <c r="H33" s="14"/>
    </row>
    <row r="34" customFormat="false" ht="15" hidden="false" customHeight="false" outlineLevel="0" collapsed="false">
      <c r="A34" s="36" t="n">
        <v>12</v>
      </c>
      <c r="B34" s="14"/>
      <c r="C34" s="13"/>
      <c r="D34" s="13"/>
      <c r="E34" s="13"/>
      <c r="F34" s="13"/>
      <c r="G34" s="13"/>
      <c r="H34" s="14"/>
    </row>
    <row r="35" customFormat="false" ht="15" hidden="false" customHeight="false" outlineLevel="0" collapsed="false">
      <c r="A35" s="36" t="n">
        <v>13</v>
      </c>
      <c r="B35" s="14"/>
      <c r="C35" s="13"/>
      <c r="D35" s="13"/>
      <c r="E35" s="13"/>
      <c r="F35" s="13"/>
      <c r="G35" s="13"/>
      <c r="H35" s="14"/>
    </row>
    <row r="36" customFormat="false" ht="15" hidden="false" customHeight="false" outlineLevel="0" collapsed="false">
      <c r="A36" s="36" t="n">
        <v>14</v>
      </c>
      <c r="B36" s="14"/>
      <c r="C36" s="13"/>
      <c r="D36" s="13"/>
      <c r="E36" s="13"/>
      <c r="F36" s="13"/>
      <c r="G36" s="13"/>
      <c r="H36" s="14"/>
    </row>
    <row r="37" customFormat="false" ht="15" hidden="false" customHeight="false" outlineLevel="0" collapsed="false">
      <c r="A37" s="36" t="n">
        <v>15</v>
      </c>
      <c r="B37" s="14"/>
      <c r="C37" s="13"/>
      <c r="D37" s="13"/>
      <c r="E37" s="13"/>
      <c r="F37" s="13"/>
      <c r="G37" s="13"/>
      <c r="H37" s="14"/>
    </row>
    <row r="38" customFormat="false" ht="15" hidden="false" customHeight="false" outlineLevel="0" collapsed="false">
      <c r="A38" s="36" t="n">
        <v>16</v>
      </c>
      <c r="B38" s="14"/>
      <c r="C38" s="13"/>
      <c r="D38" s="13"/>
      <c r="E38" s="13"/>
      <c r="F38" s="13"/>
      <c r="G38" s="13"/>
      <c r="H38" s="14"/>
    </row>
    <row r="39" customFormat="false" ht="15" hidden="false" customHeight="false" outlineLevel="0" collapsed="false">
      <c r="A39" s="36" t="n">
        <v>17</v>
      </c>
      <c r="B39" s="14"/>
      <c r="C39" s="13"/>
      <c r="D39" s="13"/>
      <c r="E39" s="13"/>
      <c r="F39" s="13"/>
      <c r="G39" s="13"/>
      <c r="H39" s="14"/>
    </row>
    <row r="40" customFormat="false" ht="15" hidden="false" customHeight="false" outlineLevel="0" collapsed="false">
      <c r="A40" s="36" t="n">
        <v>18</v>
      </c>
      <c r="B40" s="14"/>
      <c r="C40" s="13"/>
      <c r="D40" s="13"/>
      <c r="E40" s="13"/>
      <c r="F40" s="13"/>
      <c r="G40" s="13"/>
      <c r="H40" s="14"/>
    </row>
    <row r="41" customFormat="false" ht="15" hidden="false" customHeight="false" outlineLevel="0" collapsed="false">
      <c r="A41" s="36" t="n">
        <v>19</v>
      </c>
      <c r="B41" s="14"/>
      <c r="C41" s="13"/>
      <c r="D41" s="13"/>
      <c r="E41" s="13"/>
      <c r="F41" s="13"/>
      <c r="G41" s="13"/>
      <c r="H41" s="14"/>
    </row>
    <row r="42" customFormat="false" ht="15" hidden="false" customHeight="false" outlineLevel="0" collapsed="false">
      <c r="A42" s="36" t="n">
        <v>20</v>
      </c>
      <c r="B42" s="14"/>
      <c r="C42" s="13"/>
      <c r="D42" s="13"/>
      <c r="E42" s="13"/>
      <c r="F42" s="13"/>
      <c r="G42" s="13"/>
      <c r="H42" s="14"/>
    </row>
    <row r="44" customFormat="false" ht="15" hidden="false" customHeight="false" outlineLevel="0" collapsed="false">
      <c r="A44" s="12" t="s">
        <v>1320</v>
      </c>
      <c r="B44" s="17" t="n">
        <f aca="false">COUNTIF(F23:F42,"After results known")</f>
        <v>0</v>
      </c>
    </row>
    <row r="45" customFormat="false" ht="15" hidden="false" customHeight="false" outlineLevel="0" collapsed="false">
      <c r="A45" s="9" t="s">
        <v>1321</v>
      </c>
    </row>
  </sheetData>
  <dataValidations count="3">
    <dataValidation allowBlank="true" errorStyle="stop" operator="between" showDropDown="false" showErrorMessage="false" showInputMessage="false" sqref="F23:F42" type="list">
      <formula1>"Before results known,After results known"</formula1>
      <formula2>0</formula2>
    </dataValidation>
    <dataValidation type="date" operator="greaterThanOrEqual" allowBlank="true" showDropDown="false" showInputMessage="true" showErrorMessage="true" errorTitle="Enter a date" error="Enter a real date (yyyy-mm-dd), not text. Formulas that use this date fail silently on text." sqref="B23:B45">
      <formula1>1</formula1>
    </dataValidation>
    <dataValidation type="date" operator="greaterThanOrEqual" allowBlank="true" showDropDown="false" showInputMessage="true" showErrorMessage="true" errorTitle="Enter a date" error="Enter a real date (yyyy-mm-dd), not text. Formulas that use this date fail silently on text." sqref="H23:H45">
      <formula1>1</formula1>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N5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4" ySplit="13" topLeftCell="E14" activePane="bottomRight" state="frozen"/>
      <selection pane="topLeft" activeCell="A1" activeCellId="0" sqref="A1"/>
      <selection pane="topRight" activeCell="E1" activeCellId="0" sqref="E1"/>
      <selection pane="bottomLeft" activeCell="A14" activeCellId="0" sqref="A14"/>
      <selection pane="bottomRight" activeCell="A1" activeCellId="0" sqref="A1"/>
    </sheetView>
  </sheetViews>
  <sheetFormatPr defaultColWidth="8.6796875" defaultRowHeight="15" zeroHeight="false" outlineLevelRow="0" outlineLevelCol="0"/>
  <cols>
    <col collapsed="false" customWidth="true" hidden="false" outlineLevel="0" max="1" min="1" style="0" width="7"/>
    <col collapsed="false" customWidth="true" hidden="false" outlineLevel="0" max="2" min="2" style="0" width="8"/>
    <col collapsed="false" customWidth="true" hidden="false" outlineLevel="0" max="3" min="3" style="0" width="13"/>
    <col collapsed="false" customWidth="true" hidden="false" outlineLevel="0" max="4" min="4" style="0" width="50"/>
    <col collapsed="false" customWidth="true" hidden="false" outlineLevel="0" max="5" min="5" style="0" width="10"/>
    <col collapsed="false" customWidth="true" hidden="false" outlineLevel="0" max="6" min="6" style="0" width="8"/>
    <col collapsed="false" customWidth="true" hidden="false" outlineLevel="0" max="7" min="7" style="0" width="7"/>
    <col collapsed="false" customWidth="true" hidden="false" outlineLevel="0" max="8" min="8" style="0" width="9"/>
    <col collapsed="false" customWidth="true" hidden="false" outlineLevel="0" max="9" min="9" style="0" width="14"/>
    <col collapsed="false" customWidth="true" hidden="false" outlineLevel="0" max="10" min="10" style="0" width="30"/>
    <col collapsed="false" customWidth="true" hidden="false" outlineLevel="0" max="11" min="11" style="0" width="24"/>
    <col collapsed="false" customWidth="true" hidden="false" outlineLevel="0" max="14" min="12" style="0" width="11"/>
  </cols>
  <sheetData>
    <row r="1" customFormat="false" ht="17.35" hidden="false" customHeight="false" outlineLevel="0" collapsed="false">
      <c r="A1" s="10" t="s">
        <v>1322</v>
      </c>
    </row>
    <row r="2" customFormat="false" ht="15" hidden="false" customHeight="false" outlineLevel="0" collapsed="false">
      <c r="A2" s="11" t="s">
        <v>1323</v>
      </c>
    </row>
    <row r="3" customFormat="false" ht="15" hidden="false" customHeight="false" outlineLevel="0" collapsed="false">
      <c r="A3" s="9" t="s">
        <v>134</v>
      </c>
    </row>
    <row r="5" customFormat="false" ht="30" hidden="false" customHeight="true" outlineLevel="0" collapsed="false">
      <c r="A5" s="6" t="s">
        <v>1324</v>
      </c>
      <c r="B5" s="6" t="s">
        <v>1325</v>
      </c>
      <c r="C5" s="6" t="s">
        <v>1326</v>
      </c>
      <c r="E5" s="46" t="s">
        <v>1327</v>
      </c>
    </row>
    <row r="6" customFormat="false" ht="74.6" hidden="false" customHeight="false" outlineLevel="0" collapsed="false">
      <c r="A6" s="12" t="s">
        <v>1328</v>
      </c>
      <c r="B6" s="8" t="s">
        <v>1329</v>
      </c>
      <c r="C6" s="8" t="s">
        <v>1330</v>
      </c>
      <c r="E6" s="8" t="s">
        <v>1331</v>
      </c>
    </row>
    <row r="7" customFormat="false" ht="15" hidden="false" customHeight="false" outlineLevel="0" collapsed="false">
      <c r="A7" s="12" t="s">
        <v>1332</v>
      </c>
      <c r="B7" s="8" t="s">
        <v>1333</v>
      </c>
      <c r="C7" s="8" t="s">
        <v>1265</v>
      </c>
    </row>
    <row r="8" customFormat="false" ht="22.35" hidden="false" customHeight="false" outlineLevel="0" collapsed="false">
      <c r="A8" s="12" t="s">
        <v>1334</v>
      </c>
      <c r="B8" s="8" t="s">
        <v>1335</v>
      </c>
      <c r="C8" s="8" t="s">
        <v>1336</v>
      </c>
      <c r="E8" s="12" t="s">
        <v>1337</v>
      </c>
      <c r="F8" s="17" t="n">
        <f aca="false">COUNTIFS(H14:H54,"High",M14:M54,"&lt;&gt;Closed")</f>
        <v>0</v>
      </c>
    </row>
    <row r="9" customFormat="false" ht="22.35" hidden="false" customHeight="false" outlineLevel="0" collapsed="false">
      <c r="A9" s="12" t="s">
        <v>1338</v>
      </c>
      <c r="B9" s="8" t="s">
        <v>1339</v>
      </c>
      <c r="C9" s="8" t="s">
        <v>1262</v>
      </c>
      <c r="E9" s="12" t="s">
        <v>1340</v>
      </c>
      <c r="F9" s="17" t="n">
        <f aca="false">COUNTIFS(D14:D54,"&lt;&gt;",G14:G54,"")</f>
        <v>26</v>
      </c>
    </row>
    <row r="10" customFormat="false" ht="22.35" hidden="false" customHeight="false" outlineLevel="0" collapsed="false">
      <c r="A10" s="12" t="s">
        <v>1341</v>
      </c>
      <c r="B10" s="8" t="s">
        <v>1342</v>
      </c>
      <c r="C10" s="8" t="s">
        <v>1343</v>
      </c>
    </row>
    <row r="13" customFormat="false" ht="30" hidden="false" customHeight="true" outlineLevel="0" collapsed="false">
      <c r="A13" s="6" t="s">
        <v>474</v>
      </c>
      <c r="B13" s="6" t="s">
        <v>856</v>
      </c>
      <c r="C13" s="6" t="s">
        <v>135</v>
      </c>
      <c r="D13" s="6" t="s">
        <v>1344</v>
      </c>
      <c r="E13" s="6" t="s">
        <v>1325</v>
      </c>
      <c r="F13" s="6" t="s">
        <v>1326</v>
      </c>
      <c r="G13" s="6" t="s">
        <v>1324</v>
      </c>
      <c r="H13" s="6" t="s">
        <v>1345</v>
      </c>
      <c r="I13" s="6" t="s">
        <v>140</v>
      </c>
      <c r="J13" s="6" t="s">
        <v>1346</v>
      </c>
      <c r="K13" s="6" t="s">
        <v>425</v>
      </c>
      <c r="L13" s="6" t="s">
        <v>1347</v>
      </c>
      <c r="M13" s="6" t="s">
        <v>861</v>
      </c>
      <c r="N13" s="6" t="s">
        <v>1348</v>
      </c>
    </row>
    <row r="14" customFormat="false" ht="22.35" hidden="false" customHeight="false" outlineLevel="0" collapsed="false">
      <c r="A14" s="12" t="s">
        <v>1349</v>
      </c>
      <c r="B14" s="13" t="s">
        <v>880</v>
      </c>
      <c r="C14" s="13" t="s">
        <v>1350</v>
      </c>
      <c r="D14" s="13" t="s">
        <v>1351</v>
      </c>
      <c r="E14" s="13"/>
      <c r="F14" s="13"/>
      <c r="G14" s="17" t="str">
        <f aca="false">IF(OR(E14="",F14=""),"",E14*F14)</f>
        <v/>
      </c>
      <c r="H14" s="17" t="str">
        <f aca="false">IF(G14="","",IF(G14&gt;=15,"High",IF(G14&gt;=8,"Medium","Low")))</f>
        <v/>
      </c>
      <c r="I14" s="13"/>
      <c r="J14" s="13"/>
      <c r="K14" s="13"/>
      <c r="L14" s="14"/>
      <c r="M14" s="13"/>
      <c r="N14" s="14"/>
    </row>
    <row r="15" customFormat="false" ht="22.35" hidden="false" customHeight="false" outlineLevel="0" collapsed="false">
      <c r="A15" s="12" t="s">
        <v>1352</v>
      </c>
      <c r="B15" s="13" t="s">
        <v>1353</v>
      </c>
      <c r="C15" s="13" t="s">
        <v>1350</v>
      </c>
      <c r="D15" s="13" t="s">
        <v>1354</v>
      </c>
      <c r="E15" s="13"/>
      <c r="F15" s="13"/>
      <c r="G15" s="17" t="str">
        <f aca="false">IF(OR(E15="",F15=""),"",E15*F15)</f>
        <v/>
      </c>
      <c r="H15" s="17" t="str">
        <f aca="false">IF(G15="","",IF(G15&gt;=15,"High",IF(G15&gt;=8,"Medium","Low")))</f>
        <v/>
      </c>
      <c r="I15" s="13"/>
      <c r="J15" s="13"/>
      <c r="K15" s="13"/>
      <c r="L15" s="14"/>
      <c r="M15" s="13"/>
      <c r="N15" s="14"/>
    </row>
    <row r="16" customFormat="false" ht="22.35" hidden="false" customHeight="false" outlineLevel="0" collapsed="false">
      <c r="A16" s="12" t="s">
        <v>1355</v>
      </c>
      <c r="B16" s="13" t="s">
        <v>906</v>
      </c>
      <c r="C16" s="13" t="s">
        <v>975</v>
      </c>
      <c r="D16" s="13" t="s">
        <v>1356</v>
      </c>
      <c r="E16" s="13"/>
      <c r="F16" s="13"/>
      <c r="G16" s="17" t="str">
        <f aca="false">IF(OR(E16="",F16=""),"",E16*F16)</f>
        <v/>
      </c>
      <c r="H16" s="17" t="str">
        <f aca="false">IF(G16="","",IF(G16&gt;=15,"High",IF(G16&gt;=8,"Medium","Low")))</f>
        <v/>
      </c>
      <c r="I16" s="13"/>
      <c r="J16" s="13"/>
      <c r="K16" s="13"/>
      <c r="L16" s="14"/>
      <c r="M16" s="13"/>
      <c r="N16" s="14"/>
    </row>
    <row r="17" customFormat="false" ht="22.35" hidden="false" customHeight="false" outlineLevel="0" collapsed="false">
      <c r="A17" s="12" t="s">
        <v>1357</v>
      </c>
      <c r="B17" s="13" t="s">
        <v>864</v>
      </c>
      <c r="C17" s="13" t="s">
        <v>1167</v>
      </c>
      <c r="D17" s="13" t="s">
        <v>1358</v>
      </c>
      <c r="E17" s="13"/>
      <c r="F17" s="13"/>
      <c r="G17" s="17" t="str">
        <f aca="false">IF(OR(E17="",F17=""),"",E17*F17)</f>
        <v/>
      </c>
      <c r="H17" s="17" t="str">
        <f aca="false">IF(G17="","",IF(G17&gt;=15,"High",IF(G17&gt;=8,"Medium","Low")))</f>
        <v/>
      </c>
      <c r="I17" s="13"/>
      <c r="J17" s="13"/>
      <c r="K17" s="13"/>
      <c r="L17" s="14"/>
      <c r="M17" s="13"/>
      <c r="N17" s="14"/>
    </row>
    <row r="18" customFormat="false" ht="22.35" hidden="false" customHeight="false" outlineLevel="0" collapsed="false">
      <c r="A18" s="12" t="s">
        <v>1359</v>
      </c>
      <c r="B18" s="13" t="s">
        <v>906</v>
      </c>
      <c r="C18" s="13" t="s">
        <v>1360</v>
      </c>
      <c r="D18" s="13" t="s">
        <v>1361</v>
      </c>
      <c r="E18" s="13"/>
      <c r="F18" s="13"/>
      <c r="G18" s="17" t="str">
        <f aca="false">IF(OR(E18="",F18=""),"",E18*F18)</f>
        <v/>
      </c>
      <c r="H18" s="17" t="str">
        <f aca="false">IF(G18="","",IF(G18&gt;=15,"High",IF(G18&gt;=8,"Medium","Low")))</f>
        <v/>
      </c>
      <c r="I18" s="13"/>
      <c r="J18" s="13"/>
      <c r="K18" s="13"/>
      <c r="L18" s="14"/>
      <c r="M18" s="13"/>
      <c r="N18" s="14"/>
    </row>
    <row r="19" customFormat="false" ht="15" hidden="false" customHeight="false" outlineLevel="0" collapsed="false">
      <c r="A19" s="12" t="s">
        <v>1362</v>
      </c>
      <c r="B19" s="13" t="s">
        <v>880</v>
      </c>
      <c r="C19" s="13" t="s">
        <v>1360</v>
      </c>
      <c r="D19" s="13" t="s">
        <v>1363</v>
      </c>
      <c r="E19" s="13"/>
      <c r="F19" s="13"/>
      <c r="G19" s="17" t="str">
        <f aca="false">IF(OR(E19="",F19=""),"",E19*F19)</f>
        <v/>
      </c>
      <c r="H19" s="17" t="str">
        <f aca="false">IF(G19="","",IF(G19&gt;=15,"High",IF(G19&gt;=8,"Medium","Low")))</f>
        <v/>
      </c>
      <c r="I19" s="13"/>
      <c r="J19" s="13"/>
      <c r="K19" s="13"/>
      <c r="L19" s="14"/>
      <c r="M19" s="13"/>
      <c r="N19" s="14"/>
    </row>
    <row r="20" customFormat="false" ht="22.35" hidden="false" customHeight="false" outlineLevel="0" collapsed="false">
      <c r="A20" s="12" t="s">
        <v>1364</v>
      </c>
      <c r="B20" s="13" t="s">
        <v>906</v>
      </c>
      <c r="C20" s="13" t="s">
        <v>1162</v>
      </c>
      <c r="D20" s="13" t="s">
        <v>1365</v>
      </c>
      <c r="E20" s="13"/>
      <c r="F20" s="13"/>
      <c r="G20" s="17" t="str">
        <f aca="false">IF(OR(E20="",F20=""),"",E20*F20)</f>
        <v/>
      </c>
      <c r="H20" s="17" t="str">
        <f aca="false">IF(G20="","",IF(G20&gt;=15,"High",IF(G20&gt;=8,"Medium","Low")))</f>
        <v/>
      </c>
      <c r="I20" s="13"/>
      <c r="J20" s="13"/>
      <c r="K20" s="13"/>
      <c r="L20" s="14"/>
      <c r="M20" s="13"/>
      <c r="N20" s="14"/>
    </row>
    <row r="21" customFormat="false" ht="22.35" hidden="false" customHeight="false" outlineLevel="0" collapsed="false">
      <c r="A21" s="12" t="s">
        <v>1366</v>
      </c>
      <c r="B21" s="13" t="s">
        <v>906</v>
      </c>
      <c r="C21" s="13" t="s">
        <v>1162</v>
      </c>
      <c r="D21" s="13" t="s">
        <v>1367</v>
      </c>
      <c r="E21" s="13"/>
      <c r="F21" s="13"/>
      <c r="G21" s="17" t="str">
        <f aca="false">IF(OR(E21="",F21=""),"",E21*F21)</f>
        <v/>
      </c>
      <c r="H21" s="17" t="str">
        <f aca="false">IF(G21="","",IF(G21&gt;=15,"High",IF(G21&gt;=8,"Medium","Low")))</f>
        <v/>
      </c>
      <c r="I21" s="13"/>
      <c r="J21" s="13"/>
      <c r="K21" s="13"/>
      <c r="L21" s="14"/>
      <c r="M21" s="13"/>
      <c r="N21" s="14"/>
    </row>
    <row r="22" customFormat="false" ht="22.35" hidden="false" customHeight="false" outlineLevel="0" collapsed="false">
      <c r="A22" s="12" t="s">
        <v>1368</v>
      </c>
      <c r="B22" s="13" t="s">
        <v>1353</v>
      </c>
      <c r="C22" s="13" t="s">
        <v>1162</v>
      </c>
      <c r="D22" s="13" t="s">
        <v>1369</v>
      </c>
      <c r="E22" s="13"/>
      <c r="F22" s="13"/>
      <c r="G22" s="17" t="str">
        <f aca="false">IF(OR(E22="",F22=""),"",E22*F22)</f>
        <v/>
      </c>
      <c r="H22" s="17" t="str">
        <f aca="false">IF(G22="","",IF(G22&gt;=15,"High",IF(G22&gt;=8,"Medium","Low")))</f>
        <v/>
      </c>
      <c r="I22" s="13"/>
      <c r="J22" s="13"/>
      <c r="K22" s="13"/>
      <c r="L22" s="14"/>
      <c r="M22" s="13"/>
      <c r="N22" s="14"/>
    </row>
    <row r="23" customFormat="false" ht="22.35" hidden="false" customHeight="false" outlineLevel="0" collapsed="false">
      <c r="A23" s="12" t="s">
        <v>1370</v>
      </c>
      <c r="B23" s="13" t="s">
        <v>906</v>
      </c>
      <c r="C23" s="13" t="s">
        <v>321</v>
      </c>
      <c r="D23" s="13" t="s">
        <v>1371</v>
      </c>
      <c r="E23" s="13"/>
      <c r="F23" s="13"/>
      <c r="G23" s="17" t="str">
        <f aca="false">IF(OR(E23="",F23=""),"",E23*F23)</f>
        <v/>
      </c>
      <c r="H23" s="17" t="str">
        <f aca="false">IF(G23="","",IF(G23&gt;=15,"High",IF(G23&gt;=8,"Medium","Low")))</f>
        <v/>
      </c>
      <c r="I23" s="13"/>
      <c r="J23" s="13"/>
      <c r="K23" s="13"/>
      <c r="L23" s="14"/>
      <c r="M23" s="13"/>
      <c r="N23" s="14"/>
    </row>
    <row r="24" customFormat="false" ht="15" hidden="false" customHeight="false" outlineLevel="0" collapsed="false">
      <c r="A24" s="12" t="s">
        <v>1372</v>
      </c>
      <c r="B24" s="13" t="s">
        <v>906</v>
      </c>
      <c r="C24" s="13" t="s">
        <v>552</v>
      </c>
      <c r="D24" s="13" t="s">
        <v>1373</v>
      </c>
      <c r="E24" s="13"/>
      <c r="F24" s="13"/>
      <c r="G24" s="17" t="str">
        <f aca="false">IF(OR(E24="",F24=""),"",E24*F24)</f>
        <v/>
      </c>
      <c r="H24" s="17" t="str">
        <f aca="false">IF(G24="","",IF(G24&gt;=15,"High",IF(G24&gt;=8,"Medium","Low")))</f>
        <v/>
      </c>
      <c r="I24" s="13"/>
      <c r="J24" s="13"/>
      <c r="K24" s="13"/>
      <c r="L24" s="14"/>
      <c r="M24" s="13"/>
      <c r="N24" s="14"/>
    </row>
    <row r="25" customFormat="false" ht="15" hidden="false" customHeight="false" outlineLevel="0" collapsed="false">
      <c r="A25" s="12" t="s">
        <v>1374</v>
      </c>
      <c r="B25" s="13" t="s">
        <v>906</v>
      </c>
      <c r="C25" s="13" t="s">
        <v>350</v>
      </c>
      <c r="D25" s="13" t="s">
        <v>1375</v>
      </c>
      <c r="E25" s="13"/>
      <c r="F25" s="13"/>
      <c r="G25" s="17" t="str">
        <f aca="false">IF(OR(E25="",F25=""),"",E25*F25)</f>
        <v/>
      </c>
      <c r="H25" s="17" t="str">
        <f aca="false">IF(G25="","",IF(G25&gt;=15,"High",IF(G25&gt;=8,"Medium","Low")))</f>
        <v/>
      </c>
      <c r="I25" s="13"/>
      <c r="J25" s="13"/>
      <c r="K25" s="13"/>
      <c r="L25" s="14"/>
      <c r="M25" s="13"/>
      <c r="N25" s="14"/>
    </row>
    <row r="26" customFormat="false" ht="15" hidden="false" customHeight="false" outlineLevel="0" collapsed="false">
      <c r="A26" s="12" t="s">
        <v>1376</v>
      </c>
      <c r="B26" s="13" t="s">
        <v>864</v>
      </c>
      <c r="C26" s="13" t="s">
        <v>1377</v>
      </c>
      <c r="D26" s="13" t="s">
        <v>1378</v>
      </c>
      <c r="E26" s="13"/>
      <c r="F26" s="13"/>
      <c r="G26" s="17" t="str">
        <f aca="false">IF(OR(E26="",F26=""),"",E26*F26)</f>
        <v/>
      </c>
      <c r="H26" s="17" t="str">
        <f aca="false">IF(G26="","",IF(G26&gt;=15,"High",IF(G26&gt;=8,"Medium","Low")))</f>
        <v/>
      </c>
      <c r="I26" s="13"/>
      <c r="J26" s="13"/>
      <c r="K26" s="13"/>
      <c r="L26" s="14"/>
      <c r="M26" s="13"/>
      <c r="N26" s="14"/>
    </row>
    <row r="27" customFormat="false" ht="22.35" hidden="false" customHeight="false" outlineLevel="0" collapsed="false">
      <c r="A27" s="12" t="s">
        <v>1379</v>
      </c>
      <c r="B27" s="13" t="s">
        <v>1353</v>
      </c>
      <c r="C27" s="13" t="s">
        <v>1377</v>
      </c>
      <c r="D27" s="13" t="s">
        <v>1380</v>
      </c>
      <c r="E27" s="13"/>
      <c r="F27" s="13"/>
      <c r="G27" s="17" t="str">
        <f aca="false">IF(OR(E27="",F27=""),"",E27*F27)</f>
        <v/>
      </c>
      <c r="H27" s="17" t="str">
        <f aca="false">IF(G27="","",IF(G27&gt;=15,"High",IF(G27&gt;=8,"Medium","Low")))</f>
        <v/>
      </c>
      <c r="I27" s="13"/>
      <c r="J27" s="13"/>
      <c r="K27" s="13"/>
      <c r="L27" s="14"/>
      <c r="M27" s="13"/>
      <c r="N27" s="14"/>
    </row>
    <row r="28" customFormat="false" ht="22.35" hidden="false" customHeight="false" outlineLevel="0" collapsed="false">
      <c r="A28" s="12" t="s">
        <v>1381</v>
      </c>
      <c r="B28" s="13" t="s">
        <v>919</v>
      </c>
      <c r="C28" s="13" t="s">
        <v>1382</v>
      </c>
      <c r="D28" s="13" t="s">
        <v>1383</v>
      </c>
      <c r="E28" s="13"/>
      <c r="F28" s="13"/>
      <c r="G28" s="17" t="str">
        <f aca="false">IF(OR(E28="",F28=""),"",E28*F28)</f>
        <v/>
      </c>
      <c r="H28" s="17" t="str">
        <f aca="false">IF(G28="","",IF(G28&gt;=15,"High",IF(G28&gt;=8,"Medium","Low")))</f>
        <v/>
      </c>
      <c r="I28" s="13"/>
      <c r="J28" s="13"/>
      <c r="K28" s="13"/>
      <c r="L28" s="14"/>
      <c r="M28" s="13"/>
      <c r="N28" s="14"/>
    </row>
    <row r="29" customFormat="false" ht="22.35" hidden="false" customHeight="false" outlineLevel="0" collapsed="false">
      <c r="A29" s="12" t="s">
        <v>1384</v>
      </c>
      <c r="B29" s="13" t="s">
        <v>919</v>
      </c>
      <c r="C29" s="13" t="s">
        <v>1382</v>
      </c>
      <c r="D29" s="13" t="s">
        <v>1385</v>
      </c>
      <c r="E29" s="13"/>
      <c r="F29" s="13"/>
      <c r="G29" s="17" t="str">
        <f aca="false">IF(OR(E29="",F29=""),"",E29*F29)</f>
        <v/>
      </c>
      <c r="H29" s="17" t="str">
        <f aca="false">IF(G29="","",IF(G29&gt;=15,"High",IF(G29&gt;=8,"Medium","Low")))</f>
        <v/>
      </c>
      <c r="I29" s="13"/>
      <c r="J29" s="13"/>
      <c r="K29" s="13"/>
      <c r="L29" s="14"/>
      <c r="M29" s="13"/>
      <c r="N29" s="14"/>
    </row>
    <row r="30" customFormat="false" ht="15" hidden="false" customHeight="false" outlineLevel="0" collapsed="false">
      <c r="A30" s="12" t="s">
        <v>1386</v>
      </c>
      <c r="B30" s="13" t="s">
        <v>919</v>
      </c>
      <c r="C30" s="13" t="s">
        <v>1382</v>
      </c>
      <c r="D30" s="13" t="s">
        <v>1387</v>
      </c>
      <c r="E30" s="13"/>
      <c r="F30" s="13"/>
      <c r="G30" s="17" t="str">
        <f aca="false">IF(OR(E30="",F30=""),"",E30*F30)</f>
        <v/>
      </c>
      <c r="H30" s="17" t="str">
        <f aca="false">IF(G30="","",IF(G30&gt;=15,"High",IF(G30&gt;=8,"Medium","Low")))</f>
        <v/>
      </c>
      <c r="I30" s="13"/>
      <c r="J30" s="13"/>
      <c r="K30" s="13"/>
      <c r="L30" s="14"/>
      <c r="M30" s="13"/>
      <c r="N30" s="14"/>
    </row>
    <row r="31" customFormat="false" ht="22.35" hidden="false" customHeight="false" outlineLevel="0" collapsed="false">
      <c r="A31" s="12" t="s">
        <v>1388</v>
      </c>
      <c r="B31" s="13" t="s">
        <v>1389</v>
      </c>
      <c r="C31" s="13" t="s">
        <v>1350</v>
      </c>
      <c r="D31" s="13" t="s">
        <v>1390</v>
      </c>
      <c r="E31" s="13"/>
      <c r="F31" s="13"/>
      <c r="G31" s="17" t="str">
        <f aca="false">IF(OR(E31="",F31=""),"",E31*F31)</f>
        <v/>
      </c>
      <c r="H31" s="17" t="str">
        <f aca="false">IF(G31="","",IF(G31&gt;=15,"High",IF(G31&gt;=8,"Medium","Low")))</f>
        <v/>
      </c>
      <c r="I31" s="13"/>
      <c r="J31" s="13"/>
      <c r="K31" s="13"/>
      <c r="L31" s="14"/>
      <c r="M31" s="13"/>
      <c r="N31" s="14"/>
    </row>
    <row r="32" customFormat="false" ht="22.35" hidden="false" customHeight="false" outlineLevel="0" collapsed="false">
      <c r="A32" s="12" t="s">
        <v>1391</v>
      </c>
      <c r="B32" s="13" t="s">
        <v>1353</v>
      </c>
      <c r="C32" s="13" t="s">
        <v>1350</v>
      </c>
      <c r="D32" s="13" t="s">
        <v>1392</v>
      </c>
      <c r="E32" s="13"/>
      <c r="F32" s="13"/>
      <c r="G32" s="17" t="str">
        <f aca="false">IF(OR(E32="",F32=""),"",E32*F32)</f>
        <v/>
      </c>
      <c r="H32" s="17" t="str">
        <f aca="false">IF(G32="","",IF(G32&gt;=15,"High",IF(G32&gt;=8,"Medium","Low")))</f>
        <v/>
      </c>
      <c r="I32" s="13"/>
      <c r="J32" s="13"/>
      <c r="K32" s="13"/>
      <c r="L32" s="14"/>
      <c r="M32" s="13"/>
      <c r="N32" s="14"/>
    </row>
    <row r="33" customFormat="false" ht="15" hidden="false" customHeight="false" outlineLevel="0" collapsed="false">
      <c r="A33" s="12" t="s">
        <v>1393</v>
      </c>
      <c r="B33" s="13" t="s">
        <v>1353</v>
      </c>
      <c r="C33" s="13" t="s">
        <v>550</v>
      </c>
      <c r="D33" s="13" t="s">
        <v>1394</v>
      </c>
      <c r="E33" s="13"/>
      <c r="F33" s="13"/>
      <c r="G33" s="17" t="str">
        <f aca="false">IF(OR(E33="",F33=""),"",E33*F33)</f>
        <v/>
      </c>
      <c r="H33" s="17" t="str">
        <f aca="false">IF(G33="","",IF(G33&gt;=15,"High",IF(G33&gt;=8,"Medium","Low")))</f>
        <v/>
      </c>
      <c r="I33" s="13"/>
      <c r="J33" s="13"/>
      <c r="K33" s="13"/>
      <c r="L33" s="14"/>
      <c r="M33" s="13"/>
      <c r="N33" s="14"/>
    </row>
    <row r="34" customFormat="false" ht="15" hidden="false" customHeight="false" outlineLevel="0" collapsed="false">
      <c r="A34" s="12" t="s">
        <v>1395</v>
      </c>
      <c r="B34" s="13" t="s">
        <v>1353</v>
      </c>
      <c r="C34" s="13" t="s">
        <v>1396</v>
      </c>
      <c r="D34" s="13" t="s">
        <v>1397</v>
      </c>
      <c r="E34" s="13"/>
      <c r="F34" s="13"/>
      <c r="G34" s="17" t="str">
        <f aca="false">IF(OR(E34="",F34=""),"",E34*F34)</f>
        <v/>
      </c>
      <c r="H34" s="17" t="str">
        <f aca="false">IF(G34="","",IF(G34&gt;=15,"High",IF(G34&gt;=8,"Medium","Low")))</f>
        <v/>
      </c>
      <c r="I34" s="13"/>
      <c r="J34" s="13"/>
      <c r="K34" s="13"/>
      <c r="L34" s="14"/>
      <c r="M34" s="13"/>
      <c r="N34" s="14"/>
    </row>
    <row r="35" customFormat="false" ht="22.35" hidden="false" customHeight="false" outlineLevel="0" collapsed="false">
      <c r="A35" s="12" t="s">
        <v>1398</v>
      </c>
      <c r="B35" s="13" t="s">
        <v>1389</v>
      </c>
      <c r="C35" s="13" t="s">
        <v>1399</v>
      </c>
      <c r="D35" s="13" t="s">
        <v>1400</v>
      </c>
      <c r="E35" s="13"/>
      <c r="F35" s="13"/>
      <c r="G35" s="17" t="str">
        <f aca="false">IF(OR(E35="",F35=""),"",E35*F35)</f>
        <v/>
      </c>
      <c r="H35" s="17" t="str">
        <f aca="false">IF(G35="","",IF(G35&gt;=15,"High",IF(G35&gt;=8,"Medium","Low")))</f>
        <v/>
      </c>
      <c r="I35" s="13"/>
      <c r="J35" s="13"/>
      <c r="K35" s="13"/>
      <c r="L35" s="14"/>
      <c r="M35" s="13"/>
      <c r="N35" s="14"/>
    </row>
    <row r="36" customFormat="false" ht="22.35" hidden="false" customHeight="false" outlineLevel="0" collapsed="false">
      <c r="A36" s="12" t="s">
        <v>1401</v>
      </c>
      <c r="B36" s="13" t="s">
        <v>1353</v>
      </c>
      <c r="C36" s="13" t="s">
        <v>1402</v>
      </c>
      <c r="D36" s="13" t="s">
        <v>1403</v>
      </c>
      <c r="E36" s="13"/>
      <c r="F36" s="13"/>
      <c r="G36" s="17" t="str">
        <f aca="false">IF(OR(E36="",F36=""),"",E36*F36)</f>
        <v/>
      </c>
      <c r="H36" s="17" t="str">
        <f aca="false">IF(G36="","",IF(G36&gt;=15,"High",IF(G36&gt;=8,"Medium","Low")))</f>
        <v/>
      </c>
      <c r="I36" s="13"/>
      <c r="J36" s="13"/>
      <c r="K36" s="13"/>
      <c r="L36" s="14"/>
      <c r="M36" s="13"/>
      <c r="N36" s="14"/>
    </row>
    <row r="37" customFormat="false" ht="22.35" hidden="false" customHeight="false" outlineLevel="0" collapsed="false">
      <c r="A37" s="12" t="s">
        <v>1404</v>
      </c>
      <c r="B37" s="13" t="s">
        <v>880</v>
      </c>
      <c r="C37" s="13" t="s">
        <v>1167</v>
      </c>
      <c r="D37" s="13" t="s">
        <v>1405</v>
      </c>
      <c r="E37" s="13"/>
      <c r="F37" s="13"/>
      <c r="G37" s="17" t="str">
        <f aca="false">IF(OR(E37="",F37=""),"",E37*F37)</f>
        <v/>
      </c>
      <c r="H37" s="17" t="str">
        <f aca="false">IF(G37="","",IF(G37&gt;=15,"High",IF(G37&gt;=8,"Medium","Low")))</f>
        <v/>
      </c>
      <c r="I37" s="13"/>
      <c r="J37" s="13"/>
      <c r="K37" s="13"/>
      <c r="L37" s="14"/>
      <c r="M37" s="13"/>
      <c r="N37" s="14"/>
    </row>
    <row r="38" customFormat="false" ht="22.35" hidden="false" customHeight="false" outlineLevel="0" collapsed="false">
      <c r="A38" s="12" t="s">
        <v>1406</v>
      </c>
      <c r="B38" s="13" t="s">
        <v>1353</v>
      </c>
      <c r="C38" s="13" t="s">
        <v>1019</v>
      </c>
      <c r="D38" s="13" t="s">
        <v>1407</v>
      </c>
      <c r="E38" s="13"/>
      <c r="F38" s="13"/>
      <c r="G38" s="17" t="str">
        <f aca="false">IF(OR(E38="",F38=""),"",E38*F38)</f>
        <v/>
      </c>
      <c r="H38" s="17" t="str">
        <f aca="false">IF(G38="","",IF(G38&gt;=15,"High",IF(G38&gt;=8,"Medium","Low")))</f>
        <v/>
      </c>
      <c r="I38" s="13"/>
      <c r="J38" s="13"/>
      <c r="K38" s="13"/>
      <c r="L38" s="14"/>
      <c r="M38" s="13"/>
      <c r="N38" s="14"/>
    </row>
    <row r="39" customFormat="false" ht="22.35" hidden="false" customHeight="false" outlineLevel="0" collapsed="false">
      <c r="A39" s="12" t="s">
        <v>1408</v>
      </c>
      <c r="B39" s="13" t="s">
        <v>864</v>
      </c>
      <c r="C39" s="13" t="s">
        <v>146</v>
      </c>
      <c r="D39" s="13" t="s">
        <v>1409</v>
      </c>
      <c r="E39" s="13"/>
      <c r="F39" s="13"/>
      <c r="G39" s="17" t="str">
        <f aca="false">IF(OR(E39="",F39=""),"",E39*F39)</f>
        <v/>
      </c>
      <c r="H39" s="17" t="str">
        <f aca="false">IF(G39="","",IF(G39&gt;=15,"High",IF(G39&gt;=8,"Medium","Low")))</f>
        <v/>
      </c>
      <c r="I39" s="13"/>
      <c r="J39" s="13"/>
      <c r="K39" s="13"/>
      <c r="L39" s="14"/>
      <c r="M39" s="13"/>
      <c r="N39" s="14"/>
    </row>
    <row r="40" customFormat="false" ht="15" hidden="false" customHeight="false" outlineLevel="0" collapsed="false">
      <c r="A40" s="12" t="s">
        <v>1410</v>
      </c>
      <c r="B40" s="13"/>
      <c r="C40" s="13"/>
      <c r="D40" s="13"/>
      <c r="E40" s="13"/>
      <c r="F40" s="13"/>
      <c r="G40" s="17" t="str">
        <f aca="false">IF(OR(E40="",F40=""),"",E40*F40)</f>
        <v/>
      </c>
      <c r="H40" s="17" t="str">
        <f aca="false">IF(G40="","",IF(G40&gt;=15,"High",IF(G40&gt;=8,"Medium","Low")))</f>
        <v/>
      </c>
      <c r="I40" s="13"/>
      <c r="J40" s="13"/>
      <c r="K40" s="13"/>
      <c r="L40" s="14"/>
      <c r="M40" s="13"/>
      <c r="N40" s="14"/>
    </row>
    <row r="41" customFormat="false" ht="15" hidden="false" customHeight="false" outlineLevel="0" collapsed="false">
      <c r="A41" s="12" t="s">
        <v>1411</v>
      </c>
      <c r="B41" s="13"/>
      <c r="C41" s="13"/>
      <c r="D41" s="13"/>
      <c r="E41" s="13"/>
      <c r="F41" s="13"/>
      <c r="G41" s="17" t="str">
        <f aca="false">IF(OR(E41="",F41=""),"",E41*F41)</f>
        <v/>
      </c>
      <c r="H41" s="17" t="str">
        <f aca="false">IF(G41="","",IF(G41&gt;=15,"High",IF(G41&gt;=8,"Medium","Low")))</f>
        <v/>
      </c>
      <c r="I41" s="13"/>
      <c r="J41" s="13"/>
      <c r="K41" s="13"/>
      <c r="L41" s="14"/>
      <c r="M41" s="13"/>
      <c r="N41" s="14"/>
    </row>
    <row r="42" customFormat="false" ht="15" hidden="false" customHeight="false" outlineLevel="0" collapsed="false">
      <c r="A42" s="12" t="s">
        <v>1412</v>
      </c>
      <c r="B42" s="13"/>
      <c r="C42" s="13"/>
      <c r="D42" s="13"/>
      <c r="E42" s="13"/>
      <c r="F42" s="13"/>
      <c r="G42" s="17" t="str">
        <f aca="false">IF(OR(E42="",F42=""),"",E42*F42)</f>
        <v/>
      </c>
      <c r="H42" s="17" t="str">
        <f aca="false">IF(G42="","",IF(G42&gt;=15,"High",IF(G42&gt;=8,"Medium","Low")))</f>
        <v/>
      </c>
      <c r="I42" s="13"/>
      <c r="J42" s="13"/>
      <c r="K42" s="13"/>
      <c r="L42" s="14"/>
      <c r="M42" s="13"/>
      <c r="N42" s="14"/>
    </row>
    <row r="43" customFormat="false" ht="15" hidden="false" customHeight="false" outlineLevel="0" collapsed="false">
      <c r="A43" s="12" t="s">
        <v>1413</v>
      </c>
      <c r="B43" s="13"/>
      <c r="C43" s="13"/>
      <c r="D43" s="13"/>
      <c r="E43" s="13"/>
      <c r="F43" s="13"/>
      <c r="G43" s="17" t="str">
        <f aca="false">IF(OR(E43="",F43=""),"",E43*F43)</f>
        <v/>
      </c>
      <c r="H43" s="17" t="str">
        <f aca="false">IF(G43="","",IF(G43&gt;=15,"High",IF(G43&gt;=8,"Medium","Low")))</f>
        <v/>
      </c>
      <c r="I43" s="13"/>
      <c r="J43" s="13"/>
      <c r="K43" s="13"/>
      <c r="L43" s="14"/>
      <c r="M43" s="13"/>
      <c r="N43" s="14"/>
    </row>
    <row r="44" customFormat="false" ht="15" hidden="false" customHeight="false" outlineLevel="0" collapsed="false">
      <c r="A44" s="12" t="s">
        <v>1414</v>
      </c>
      <c r="B44" s="13"/>
      <c r="C44" s="13"/>
      <c r="D44" s="13"/>
      <c r="E44" s="13"/>
      <c r="F44" s="13"/>
      <c r="G44" s="17" t="str">
        <f aca="false">IF(OR(E44="",F44=""),"",E44*F44)</f>
        <v/>
      </c>
      <c r="H44" s="17" t="str">
        <f aca="false">IF(G44="","",IF(G44&gt;=15,"High",IF(G44&gt;=8,"Medium","Low")))</f>
        <v/>
      </c>
      <c r="I44" s="13"/>
      <c r="J44" s="13"/>
      <c r="K44" s="13"/>
      <c r="L44" s="14"/>
      <c r="M44" s="13"/>
      <c r="N44" s="14"/>
    </row>
    <row r="45" customFormat="false" ht="15" hidden="false" customHeight="false" outlineLevel="0" collapsed="false">
      <c r="A45" s="12" t="s">
        <v>1415</v>
      </c>
      <c r="B45" s="13"/>
      <c r="C45" s="13"/>
      <c r="D45" s="13"/>
      <c r="E45" s="13"/>
      <c r="F45" s="13"/>
      <c r="G45" s="17" t="str">
        <f aca="false">IF(OR(E45="",F45=""),"",E45*F45)</f>
        <v/>
      </c>
      <c r="H45" s="17" t="str">
        <f aca="false">IF(G45="","",IF(G45&gt;=15,"High",IF(G45&gt;=8,"Medium","Low")))</f>
        <v/>
      </c>
      <c r="I45" s="13"/>
      <c r="J45" s="13"/>
      <c r="K45" s="13"/>
      <c r="L45" s="14"/>
      <c r="M45" s="13"/>
      <c r="N45" s="14"/>
    </row>
    <row r="46" customFormat="false" ht="15" hidden="false" customHeight="false" outlineLevel="0" collapsed="false">
      <c r="A46" s="12" t="s">
        <v>1416</v>
      </c>
      <c r="B46" s="13"/>
      <c r="C46" s="13"/>
      <c r="D46" s="13"/>
      <c r="E46" s="13"/>
      <c r="F46" s="13"/>
      <c r="G46" s="17" t="str">
        <f aca="false">IF(OR(E46="",F46=""),"",E46*F46)</f>
        <v/>
      </c>
      <c r="H46" s="17" t="str">
        <f aca="false">IF(G46="","",IF(G46&gt;=15,"High",IF(G46&gt;=8,"Medium","Low")))</f>
        <v/>
      </c>
      <c r="I46" s="13"/>
      <c r="J46" s="13"/>
      <c r="K46" s="13"/>
      <c r="L46" s="14"/>
      <c r="M46" s="13"/>
      <c r="N46" s="14"/>
    </row>
    <row r="47" customFormat="false" ht="15" hidden="false" customHeight="false" outlineLevel="0" collapsed="false">
      <c r="A47" s="12" t="s">
        <v>1417</v>
      </c>
      <c r="B47" s="13"/>
      <c r="C47" s="13"/>
      <c r="D47" s="13"/>
      <c r="E47" s="13"/>
      <c r="F47" s="13"/>
      <c r="G47" s="17" t="str">
        <f aca="false">IF(OR(E47="",F47=""),"",E47*F47)</f>
        <v/>
      </c>
      <c r="H47" s="17" t="str">
        <f aca="false">IF(G47="","",IF(G47&gt;=15,"High",IF(G47&gt;=8,"Medium","Low")))</f>
        <v/>
      </c>
      <c r="I47" s="13"/>
      <c r="J47" s="13"/>
      <c r="K47" s="13"/>
      <c r="L47" s="14"/>
      <c r="M47" s="13"/>
      <c r="N47" s="14"/>
    </row>
    <row r="48" customFormat="false" ht="15" hidden="false" customHeight="false" outlineLevel="0" collapsed="false">
      <c r="A48" s="12" t="s">
        <v>1418</v>
      </c>
      <c r="B48" s="13"/>
      <c r="C48" s="13"/>
      <c r="D48" s="13"/>
      <c r="E48" s="13"/>
      <c r="F48" s="13"/>
      <c r="G48" s="17" t="str">
        <f aca="false">IF(OR(E48="",F48=""),"",E48*F48)</f>
        <v/>
      </c>
      <c r="H48" s="17" t="str">
        <f aca="false">IF(G48="","",IF(G48&gt;=15,"High",IF(G48&gt;=8,"Medium","Low")))</f>
        <v/>
      </c>
      <c r="I48" s="13"/>
      <c r="J48" s="13"/>
      <c r="K48" s="13"/>
      <c r="L48" s="14"/>
      <c r="M48" s="13"/>
      <c r="N48" s="14"/>
    </row>
    <row r="49" customFormat="false" ht="15" hidden="false" customHeight="false" outlineLevel="0" collapsed="false">
      <c r="A49" s="12" t="s">
        <v>1419</v>
      </c>
      <c r="B49" s="13"/>
      <c r="C49" s="13"/>
      <c r="D49" s="13"/>
      <c r="E49" s="13"/>
      <c r="F49" s="13"/>
      <c r="G49" s="17" t="str">
        <f aca="false">IF(OR(E49="",F49=""),"",E49*F49)</f>
        <v/>
      </c>
      <c r="H49" s="17" t="str">
        <f aca="false">IF(G49="","",IF(G49&gt;=15,"High",IF(G49&gt;=8,"Medium","Low")))</f>
        <v/>
      </c>
      <c r="I49" s="13"/>
      <c r="J49" s="13"/>
      <c r="K49" s="13"/>
      <c r="L49" s="14"/>
      <c r="M49" s="13"/>
      <c r="N49" s="14"/>
    </row>
    <row r="50" customFormat="false" ht="15" hidden="false" customHeight="false" outlineLevel="0" collapsed="false">
      <c r="A50" s="12" t="s">
        <v>1420</v>
      </c>
      <c r="B50" s="13"/>
      <c r="C50" s="13"/>
      <c r="D50" s="13"/>
      <c r="E50" s="13"/>
      <c r="F50" s="13"/>
      <c r="G50" s="17" t="str">
        <f aca="false">IF(OR(E50="",F50=""),"",E50*F50)</f>
        <v/>
      </c>
      <c r="H50" s="17" t="str">
        <f aca="false">IF(G50="","",IF(G50&gt;=15,"High",IF(G50&gt;=8,"Medium","Low")))</f>
        <v/>
      </c>
      <c r="I50" s="13"/>
      <c r="J50" s="13"/>
      <c r="K50" s="13"/>
      <c r="L50" s="14"/>
      <c r="M50" s="13"/>
      <c r="N50" s="14"/>
    </row>
    <row r="51" customFormat="false" ht="15" hidden="false" customHeight="false" outlineLevel="0" collapsed="false">
      <c r="A51" s="12" t="s">
        <v>1421</v>
      </c>
      <c r="B51" s="13"/>
      <c r="C51" s="13"/>
      <c r="D51" s="13"/>
      <c r="E51" s="13"/>
      <c r="F51" s="13"/>
      <c r="G51" s="17" t="str">
        <f aca="false">IF(OR(E51="",F51=""),"",E51*F51)</f>
        <v/>
      </c>
      <c r="H51" s="17" t="str">
        <f aca="false">IF(G51="","",IF(G51&gt;=15,"High",IF(G51&gt;=8,"Medium","Low")))</f>
        <v/>
      </c>
      <c r="I51" s="13"/>
      <c r="J51" s="13"/>
      <c r="K51" s="13"/>
      <c r="L51" s="14"/>
      <c r="M51" s="13"/>
      <c r="N51" s="14"/>
    </row>
    <row r="52" customFormat="false" ht="15" hidden="false" customHeight="false" outlineLevel="0" collapsed="false">
      <c r="A52" s="12" t="s">
        <v>1422</v>
      </c>
      <c r="B52" s="13"/>
      <c r="C52" s="13"/>
      <c r="D52" s="13"/>
      <c r="E52" s="13"/>
      <c r="F52" s="13"/>
      <c r="G52" s="17" t="str">
        <f aca="false">IF(OR(E52="",F52=""),"",E52*F52)</f>
        <v/>
      </c>
      <c r="H52" s="17" t="str">
        <f aca="false">IF(G52="","",IF(G52&gt;=15,"High",IF(G52&gt;=8,"Medium","Low")))</f>
        <v/>
      </c>
      <c r="I52" s="13"/>
      <c r="J52" s="13"/>
      <c r="K52" s="13"/>
      <c r="L52" s="14"/>
      <c r="M52" s="13"/>
      <c r="N52" s="14"/>
    </row>
    <row r="53" customFormat="false" ht="15" hidden="false" customHeight="false" outlineLevel="0" collapsed="false">
      <c r="A53" s="12" t="s">
        <v>1423</v>
      </c>
      <c r="B53" s="13"/>
      <c r="C53" s="13"/>
      <c r="D53" s="13"/>
      <c r="E53" s="13"/>
      <c r="F53" s="13"/>
      <c r="G53" s="17" t="str">
        <f aca="false">IF(OR(E53="",F53=""),"",E53*F53)</f>
        <v/>
      </c>
      <c r="H53" s="17" t="str">
        <f aca="false">IF(G53="","",IF(G53&gt;=15,"High",IF(G53&gt;=8,"Medium","Low")))</f>
        <v/>
      </c>
      <c r="I53" s="13"/>
      <c r="J53" s="13"/>
      <c r="K53" s="13"/>
      <c r="L53" s="14"/>
      <c r="M53" s="13"/>
      <c r="N53" s="14"/>
    </row>
    <row r="54" customFormat="false" ht="15" hidden="false" customHeight="false" outlineLevel="0" collapsed="false">
      <c r="A54" s="12" t="s">
        <v>1424</v>
      </c>
      <c r="B54" s="13"/>
      <c r="C54" s="13"/>
      <c r="D54" s="13"/>
      <c r="E54" s="13"/>
      <c r="F54" s="13"/>
      <c r="G54" s="17" t="str">
        <f aca="false">IF(OR(E54="",F54=""),"",E54*F54)</f>
        <v/>
      </c>
      <c r="H54" s="17" t="str">
        <f aca="false">IF(G54="","",IF(G54&gt;=15,"High",IF(G54&gt;=8,"Medium","Low")))</f>
        <v/>
      </c>
      <c r="I54" s="13"/>
      <c r="J54" s="13"/>
      <c r="K54" s="13"/>
      <c r="L54" s="14"/>
      <c r="M54" s="13"/>
      <c r="N54" s="14"/>
    </row>
  </sheetData>
  <dataValidations count="2">
    <dataValidation allowBlank="true" errorStyle="stop" operator="between" showDropDown="false" showErrorMessage="false" showInputMessage="false" sqref="E14:F54" type="whole">
      <formula1>1</formula1>
      <formula2>5</formula2>
    </dataValidation>
    <dataValidation allowBlank="true" errorStyle="stop" operator="between" showDropDown="false" showErrorMessage="false" showInputMessage="false" sqref="M14:M54" type="list">
      <formula1>"Open,Mitigating,Closed,Occurred"</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P3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5" topLeftCell="B6" activePane="bottomRight" state="frozen"/>
      <selection pane="topLeft" activeCell="A1" activeCellId="0" sqref="A1"/>
      <selection pane="topRight" activeCell="B1" activeCellId="0" sqref="B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30"/>
    <col collapsed="false" customWidth="true" hidden="false" outlineLevel="0" max="2" min="2" style="0" width="12"/>
    <col collapsed="false" customWidth="true" hidden="false" outlineLevel="0" max="4" min="3" style="0" width="20"/>
    <col collapsed="false" customWidth="true" hidden="false" outlineLevel="0" max="5" min="5" style="0" width="32"/>
    <col collapsed="false" customWidth="true" hidden="false" outlineLevel="0" max="6" min="6" style="0" width="14"/>
    <col collapsed="false" customWidth="true" hidden="false" outlineLevel="0" max="7" min="7" style="0" width="30"/>
    <col collapsed="false" customWidth="true" hidden="false" outlineLevel="0" max="8" min="8" style="0" width="26"/>
    <col collapsed="false" customWidth="true" hidden="false" outlineLevel="0" max="9" min="9" style="0" width="16"/>
    <col collapsed="false" customWidth="true" hidden="false" outlineLevel="0" max="10" min="10" style="0" width="24"/>
    <col collapsed="false" customWidth="true" hidden="false" outlineLevel="0" max="12" min="11" style="0" width="14"/>
    <col collapsed="false" customWidth="true" hidden="false" outlineLevel="0" max="13" min="13" style="0" width="18"/>
    <col collapsed="false" customWidth="true" hidden="false" outlineLevel="0" max="15" min="15" style="0" width="44"/>
    <col collapsed="false" customWidth="true" hidden="false" outlineLevel="0" max="16" min="16" style="0" width="26"/>
  </cols>
  <sheetData>
    <row r="1" customFormat="false" ht="17.35" hidden="false" customHeight="false" outlineLevel="0" collapsed="false">
      <c r="A1" s="10" t="s">
        <v>1425</v>
      </c>
    </row>
    <row r="2" customFormat="false" ht="15" hidden="false" customHeight="false" outlineLevel="0" collapsed="false">
      <c r="A2" s="11" t="s">
        <v>1426</v>
      </c>
    </row>
    <row r="3" customFormat="false" ht="15" hidden="false" customHeight="false" outlineLevel="0" collapsed="false">
      <c r="A3" s="9" t="s">
        <v>134</v>
      </c>
    </row>
    <row r="5" customFormat="false" ht="30" hidden="false" customHeight="true" outlineLevel="0" collapsed="false">
      <c r="A5" s="6" t="s">
        <v>1427</v>
      </c>
      <c r="B5" s="6" t="s">
        <v>943</v>
      </c>
      <c r="C5" s="6" t="s">
        <v>1428</v>
      </c>
      <c r="D5" s="6" t="s">
        <v>1429</v>
      </c>
      <c r="E5" s="6" t="s">
        <v>1430</v>
      </c>
      <c r="F5" s="6" t="s">
        <v>1431</v>
      </c>
      <c r="G5" s="6" t="s">
        <v>1432</v>
      </c>
      <c r="H5" s="6" t="s">
        <v>1433</v>
      </c>
      <c r="I5" s="6" t="s">
        <v>1434</v>
      </c>
      <c r="J5" s="6" t="s">
        <v>1435</v>
      </c>
      <c r="K5" s="6" t="s">
        <v>1436</v>
      </c>
      <c r="L5" s="6" t="s">
        <v>1437</v>
      </c>
      <c r="M5" s="6" t="s">
        <v>1438</v>
      </c>
      <c r="O5" s="6" t="inlineStr">
        <is>
          <t xml:space="preserve">Allowed outcomes (Annex B.1, verbatim; lookup for column D, do not edit)</t>
        </is>
      </c>
      <c r="P5" s="6" t="inlineStr">
        <is>
          <t xml:space="preserve">Gate</t>
        </is>
      </c>
    </row>
    <row r="6" customFormat="false" ht="15" hidden="false" customHeight="false" outlineLevel="0" collapsed="false">
      <c r="A6" s="12" t="s">
        <v>205</v>
      </c>
      <c r="B6" s="14"/>
      <c r="C6" s="13"/>
      <c r="D6" s="13"/>
      <c r="E6" s="13"/>
      <c r="F6" s="13"/>
      <c r="G6" s="13"/>
      <c r="H6" s="13"/>
      <c r="I6" s="13"/>
      <c r="J6" s="13"/>
      <c r="K6" s="13"/>
      <c r="L6" s="13"/>
      <c r="M6" s="13"/>
      <c r="O6" s="12" t="inlineStr">
        <is>
          <t xml:space="preserve">Proceed</t>
        </is>
      </c>
      <c r="P6" s="12" t="inlineStr">
        <is>
          <t xml:space="preserve">Gate 1: Proceed to Model</t>
        </is>
      </c>
    </row>
    <row r="7" customFormat="false" ht="15" hidden="false" customHeight="false" outlineLevel="0" collapsed="false">
      <c r="A7" s="12" t="s">
        <v>1439</v>
      </c>
      <c r="B7" s="14"/>
      <c r="C7" s="13"/>
      <c r="D7" s="13"/>
      <c r="E7" s="13"/>
      <c r="F7" s="13"/>
      <c r="G7" s="13"/>
      <c r="H7" s="13"/>
      <c r="I7" s="13"/>
      <c r="J7" s="13"/>
      <c r="K7" s="13"/>
      <c r="L7" s="13"/>
      <c r="M7" s="13"/>
      <c r="O7" s="12" t="inlineStr">
        <is>
          <t xml:space="preserve">Proceed with conditions (Should criteria or gap-plan items only)</t>
        </is>
      </c>
      <c r="P7" s="12" t="inlineStr">
        <is>
          <t xml:space="preserve">Gate 1: Proceed to Model</t>
        </is>
      </c>
    </row>
    <row r="8" customFormat="false" ht="15" hidden="false" customHeight="false" outlineLevel="0" collapsed="false">
      <c r="A8" s="12" t="s">
        <v>1440</v>
      </c>
      <c r="B8" s="14"/>
      <c r="C8" s="13"/>
      <c r="D8" s="13"/>
      <c r="E8" s="13"/>
      <c r="F8" s="13"/>
      <c r="G8" s="13"/>
      <c r="H8" s="13"/>
      <c r="I8" s="13"/>
      <c r="J8" s="13"/>
      <c r="K8" s="13"/>
      <c r="L8" s="13"/>
      <c r="M8" s="13"/>
      <c r="O8" s="12" t="inlineStr">
        <is>
          <t xml:space="preserve">Hold</t>
        </is>
      </c>
      <c r="P8" s="12" t="inlineStr">
        <is>
          <t xml:space="preserve">Gate 1: Proceed to Model</t>
        </is>
      </c>
    </row>
    <row r="9" customFormat="false" ht="15" hidden="false" customHeight="false" outlineLevel="0" collapsed="false">
      <c r="A9" s="12" t="s">
        <v>1441</v>
      </c>
      <c r="B9" s="14"/>
      <c r="C9" s="13"/>
      <c r="D9" s="13"/>
      <c r="E9" s="13"/>
      <c r="F9" s="13"/>
      <c r="G9" s="13"/>
      <c r="H9" s="13"/>
      <c r="I9" s="13"/>
      <c r="J9" s="13"/>
      <c r="K9" s="13"/>
      <c r="L9" s="13"/>
      <c r="M9" s="13"/>
      <c r="O9" s="12" t="inlineStr">
        <is>
          <t xml:space="preserve">Approve as proposed</t>
        </is>
      </c>
      <c r="P9" s="12" t="inlineStr">
        <is>
          <t xml:space="preserve">Gate 2: Pilot approval</t>
        </is>
      </c>
    </row>
    <row r="10" customFormat="false" ht="22.35" hidden="false" customHeight="false" outlineLevel="0" collapsed="false">
      <c r="A10" s="12" t="s">
        <v>1442</v>
      </c>
      <c r="B10" s="14"/>
      <c r="C10" s="13"/>
      <c r="D10" s="13"/>
      <c r="E10" s="13"/>
      <c r="F10" s="13"/>
      <c r="G10" s="13"/>
      <c r="H10" s="13"/>
      <c r="I10" s="13"/>
      <c r="J10" s="13"/>
      <c r="K10" s="13"/>
      <c r="L10" s="13"/>
      <c r="M10" s="13"/>
      <c r="O10" s="12" t="inlineStr">
        <is>
          <t xml:space="preserve">Approve with changes</t>
        </is>
      </c>
      <c r="P10" s="12" t="inlineStr">
        <is>
          <t xml:space="preserve">Gate 2: Pilot approval</t>
        </is>
      </c>
    </row>
    <row r="11" customFormat="false" ht="22.35" hidden="false" customHeight="false" outlineLevel="0" collapsed="false">
      <c r="A11" s="12" t="s">
        <v>1443</v>
      </c>
      <c r="B11" s="14"/>
      <c r="C11" s="13"/>
      <c r="D11" s="13"/>
      <c r="E11" s="13"/>
      <c r="F11" s="13"/>
      <c r="G11" s="13"/>
      <c r="H11" s="13"/>
      <c r="I11" s="13"/>
      <c r="J11" s="13"/>
      <c r="K11" s="13"/>
      <c r="L11" s="13"/>
      <c r="M11" s="13"/>
      <c r="O11" s="12" t="inlineStr">
        <is>
          <t xml:space="preserve">Return for further design</t>
        </is>
      </c>
      <c r="P11" s="12" t="inlineStr">
        <is>
          <t xml:space="preserve">Gate 2: Pilot approval</t>
        </is>
      </c>
    </row>
    <row r="12" customFormat="false" ht="15" hidden="false" customHeight="false" outlineLevel="0" collapsed="false">
      <c r="A12" s="12" t="s">
        <v>1444</v>
      </c>
      <c r="B12" s="14"/>
      <c r="C12" s="13"/>
      <c r="D12" s="13"/>
      <c r="E12" s="13"/>
      <c r="F12" s="13"/>
      <c r="G12" s="13"/>
      <c r="H12" s="13"/>
      <c r="I12" s="13"/>
      <c r="J12" s="13"/>
      <c r="K12" s="13"/>
      <c r="L12" s="13"/>
      <c r="M12" s="13"/>
      <c r="O12" s="12" t="inlineStr">
        <is>
          <t xml:space="preserve">Stop</t>
        </is>
      </c>
      <c r="P12" s="12" t="inlineStr">
        <is>
          <t xml:space="preserve">Gate 2: Pilot approval</t>
        </is>
      </c>
    </row>
    <row r="13" customFormat="false" ht="15" hidden="false" customHeight="false" outlineLevel="0" collapsed="false">
      <c r="A13" s="12" t="s">
        <v>1445</v>
      </c>
      <c r="B13" s="14"/>
      <c r="C13" s="13"/>
      <c r="D13" s="13"/>
      <c r="E13" s="13"/>
      <c r="F13" s="13"/>
      <c r="G13" s="13"/>
      <c r="H13" s="13"/>
      <c r="I13" s="13"/>
      <c r="J13" s="13"/>
      <c r="K13" s="13"/>
      <c r="L13" s="13"/>
      <c r="M13" s="13"/>
      <c r="O13" s="12" t="inlineStr">
        <is>
          <t xml:space="preserve">Accept</t>
        </is>
      </c>
      <c r="P13" s="12" t="inlineStr">
        <is>
          <t xml:space="preserve">Gate 3: Technical acceptance</t>
        </is>
      </c>
    </row>
    <row r="14" customFormat="false" ht="15" hidden="false" customHeight="false" outlineLevel="0" collapsed="false">
      <c r="A14" s="13"/>
      <c r="B14" s="14"/>
      <c r="C14" s="13"/>
      <c r="D14" s="13"/>
      <c r="E14" s="13"/>
      <c r="F14" s="13"/>
      <c r="G14" s="13"/>
      <c r="H14" s="13"/>
      <c r="I14" s="13"/>
      <c r="J14" s="13"/>
      <c r="K14" s="13"/>
      <c r="L14" s="13"/>
      <c r="M14" s="13"/>
      <c r="O14" s="12" t="inlineStr">
        <is>
          <t xml:space="preserve">Accept with corrective actions (Minor defects only)</t>
        </is>
      </c>
      <c r="P14" s="12" t="inlineStr">
        <is>
          <t xml:space="preserve">Gate 3: Technical acceptance</t>
        </is>
      </c>
    </row>
    <row r="15" customFormat="false" ht="15" hidden="false" customHeight="false" outlineLevel="0" collapsed="false">
      <c r="A15" s="13"/>
      <c r="B15" s="14"/>
      <c r="C15" s="13"/>
      <c r="D15" s="13"/>
      <c r="E15" s="13"/>
      <c r="F15" s="13"/>
      <c r="G15" s="13"/>
      <c r="H15" s="13"/>
      <c r="I15" s="13"/>
      <c r="J15" s="13"/>
      <c r="K15" s="13"/>
      <c r="L15" s="13"/>
      <c r="M15" s="13"/>
      <c r="O15" s="12" t="inlineStr">
        <is>
          <t xml:space="preserve">Retest after correction</t>
        </is>
      </c>
      <c r="P15" s="12" t="inlineStr">
        <is>
          <t xml:space="preserve">Gate 3: Technical acceptance</t>
        </is>
      </c>
    </row>
    <row r="16" customFormat="false" ht="15" hidden="false" customHeight="false" outlineLevel="0" collapsed="false">
      <c r="A16" s="13"/>
      <c r="B16" s="14"/>
      <c r="C16" s="13"/>
      <c r="D16" s="13"/>
      <c r="E16" s="13"/>
      <c r="F16" s="13"/>
      <c r="G16" s="13"/>
      <c r="H16" s="13"/>
      <c r="I16" s="13"/>
      <c r="J16" s="13"/>
      <c r="K16" s="13"/>
      <c r="L16" s="13"/>
      <c r="M16" s="13"/>
      <c r="O16" s="12" t="inlineStr">
        <is>
          <t xml:space="preserve">Reject</t>
        </is>
      </c>
      <c r="P16" s="12" t="inlineStr">
        <is>
          <t xml:space="preserve">Gate 3: Technical acceptance</t>
        </is>
      </c>
    </row>
    <row r="17" customFormat="false" ht="15" hidden="false" customHeight="false" outlineLevel="0" collapsed="false">
      <c r="A17" s="13"/>
      <c r="B17" s="14"/>
      <c r="C17" s="13"/>
      <c r="D17" s="13"/>
      <c r="E17" s="13"/>
      <c r="F17" s="13"/>
      <c r="G17" s="13"/>
      <c r="H17" s="13"/>
      <c r="I17" s="13"/>
      <c r="J17" s="13"/>
      <c r="K17" s="13"/>
      <c r="L17" s="13"/>
      <c r="M17" s="13"/>
      <c r="O17" s="12" t="inlineStr">
        <is>
          <t xml:space="preserve">Scale</t>
        </is>
      </c>
      <c r="P17" s="12" t="inlineStr">
        <is>
          <t xml:space="preserve">Gate 4: Investment decision</t>
        </is>
      </c>
    </row>
    <row r="18" customFormat="false" ht="15" hidden="false" customHeight="false" outlineLevel="0" collapsed="false">
      <c r="A18" s="13"/>
      <c r="B18" s="14"/>
      <c r="C18" s="13"/>
      <c r="D18" s="13"/>
      <c r="E18" s="13"/>
      <c r="F18" s="13"/>
      <c r="G18" s="13"/>
      <c r="H18" s="13"/>
      <c r="I18" s="13"/>
      <c r="J18" s="13"/>
      <c r="K18" s="13"/>
      <c r="L18" s="13"/>
      <c r="M18" s="13"/>
      <c r="O18" s="12" t="inlineStr">
        <is>
          <t xml:space="preserve">Scale with conditions</t>
        </is>
      </c>
      <c r="P18" s="12" t="inlineStr">
        <is>
          <t xml:space="preserve">Gate 4: Investment decision</t>
        </is>
      </c>
    </row>
    <row r="19" customFormat="false" ht="15" hidden="false" customHeight="false" outlineLevel="0" collapsed="false">
      <c r="A19" s="13"/>
      <c r="B19" s="14"/>
      <c r="C19" s="13"/>
      <c r="D19" s="13"/>
      <c r="E19" s="13"/>
      <c r="F19" s="13"/>
      <c r="G19" s="13"/>
      <c r="H19" s="13"/>
      <c r="I19" s="13"/>
      <c r="J19" s="13"/>
      <c r="K19" s="13"/>
      <c r="L19" s="13"/>
      <c r="M19" s="13"/>
      <c r="O19" s="12" t="inlineStr">
        <is>
          <t xml:space="preserve">Extend the pilot and correct</t>
        </is>
      </c>
      <c r="P19" s="12" t="inlineStr">
        <is>
          <t xml:space="preserve">Gate 4: Investment decision</t>
        </is>
      </c>
    </row>
    <row r="20" customFormat="false" ht="15" hidden="false" customHeight="false" outlineLevel="0" collapsed="false">
      <c r="A20" s="13"/>
      <c r="B20" s="14"/>
      <c r="C20" s="13"/>
      <c r="D20" s="13"/>
      <c r="E20" s="13"/>
      <c r="F20" s="13"/>
      <c r="G20" s="13"/>
      <c r="H20" s="13"/>
      <c r="I20" s="13"/>
      <c r="J20" s="13"/>
      <c r="K20" s="13"/>
      <c r="L20" s="13"/>
      <c r="M20" s="13"/>
      <c r="O20" s="12" t="inlineStr">
        <is>
          <t xml:space="preserve">Re-scope or re-procure</t>
        </is>
      </c>
      <c r="P20" s="12" t="inlineStr">
        <is>
          <t xml:space="preserve">Gate 4: Investment decision</t>
        </is>
      </c>
    </row>
    <row r="21" customFormat="false" ht="15" hidden="false" customHeight="false" outlineLevel="0" collapsed="false">
      <c r="A21" s="13"/>
      <c r="B21" s="14"/>
      <c r="C21" s="13"/>
      <c r="D21" s="13"/>
      <c r="E21" s="13"/>
      <c r="F21" s="13"/>
      <c r="G21" s="13"/>
      <c r="H21" s="13"/>
      <c r="I21" s="13"/>
      <c r="J21" s="13"/>
      <c r="K21" s="13"/>
      <c r="L21" s="13"/>
      <c r="M21" s="13"/>
      <c r="O21" s="12" t="inlineStr">
        <is>
          <t xml:space="preserve">Stop</t>
        </is>
      </c>
      <c r="P21" s="12" t="inlineStr">
        <is>
          <t xml:space="preserve">Gate 4: Investment decision</t>
        </is>
      </c>
    </row>
    <row r="22" customFormat="false" ht="15" hidden="false" customHeight="false" outlineLevel="0" collapsed="false">
      <c r="A22" s="13"/>
      <c r="B22" s="14"/>
      <c r="C22" s="13"/>
      <c r="D22" s="13"/>
      <c r="E22" s="13"/>
      <c r="F22" s="13"/>
      <c r="G22" s="13"/>
      <c r="H22" s="13"/>
      <c r="I22" s="13"/>
      <c r="J22" s="13"/>
      <c r="K22" s="13"/>
      <c r="L22" s="13"/>
      <c r="M22" s="13"/>
      <c r="O22" s="12" t="inlineStr">
        <is>
          <t xml:space="preserve">Continue</t>
        </is>
      </c>
      <c r="P22" s="12" t="inlineStr">
        <is>
          <t xml:space="preserve">Gate 5: Cohort check</t>
        </is>
      </c>
    </row>
    <row r="23" customFormat="false" ht="15" hidden="false" customHeight="false" outlineLevel="0" collapsed="false">
      <c r="A23" s="13"/>
      <c r="B23" s="14"/>
      <c r="C23" s="13"/>
      <c r="D23" s="13"/>
      <c r="E23" s="13"/>
      <c r="F23" s="13"/>
      <c r="G23" s="13"/>
      <c r="H23" s="13"/>
      <c r="I23" s="13"/>
      <c r="J23" s="13"/>
      <c r="K23" s="13"/>
      <c r="L23" s="13"/>
      <c r="M23" s="13"/>
      <c r="O23" s="12" t="inlineStr">
        <is>
          <t xml:space="preserve">Continue on watch (recheck next cycle)</t>
        </is>
      </c>
      <c r="P23" s="12" t="inlineStr">
        <is>
          <t xml:space="preserve">Gate 5: Cohort check</t>
        </is>
      </c>
    </row>
    <row r="24" customFormat="false" ht="15" hidden="false" customHeight="false" outlineLevel="0" collapsed="false">
      <c r="A24" s="13"/>
      <c r="B24" s="14"/>
      <c r="C24" s="13"/>
      <c r="D24" s="13"/>
      <c r="E24" s="13"/>
      <c r="F24" s="13"/>
      <c r="G24" s="13"/>
      <c r="H24" s="13"/>
      <c r="I24" s="13"/>
      <c r="J24" s="13"/>
      <c r="K24" s="13"/>
      <c r="L24" s="13"/>
      <c r="M24" s="13"/>
      <c r="O24" s="12" t="inlineStr">
        <is>
          <t xml:space="preserve">Pause and correct</t>
        </is>
      </c>
      <c r="P24" s="12" t="inlineStr">
        <is>
          <t xml:space="preserve">Gate 5: Cohort check</t>
        </is>
      </c>
    </row>
    <row r="25" customFormat="false" ht="15" hidden="false" customHeight="false" outlineLevel="0" collapsed="false">
      <c r="A25" s="13"/>
      <c r="B25" s="14"/>
      <c r="C25" s="13"/>
      <c r="D25" s="13"/>
      <c r="E25" s="13"/>
      <c r="F25" s="13"/>
      <c r="G25" s="13"/>
      <c r="H25" s="13"/>
      <c r="I25" s="13"/>
      <c r="J25" s="13"/>
      <c r="K25" s="13"/>
      <c r="L25" s="13"/>
      <c r="M25" s="13"/>
      <c r="O25" s="12" t="inlineStr">
        <is>
          <t xml:space="preserve">Re-plan remaining rollout</t>
        </is>
      </c>
      <c r="P25" s="12" t="inlineStr">
        <is>
          <t xml:space="preserve">Gate 5: Cohort check</t>
        </is>
      </c>
    </row>
    <row r="26" customFormat="false" ht="15" hidden="false" customHeight="false" outlineLevel="0" collapsed="false">
      <c r="A26" s="13"/>
      <c r="B26" s="14"/>
      <c r="C26" s="13"/>
      <c r="D26" s="13"/>
      <c r="E26" s="13"/>
      <c r="F26" s="13"/>
      <c r="G26" s="13"/>
      <c r="H26" s="13"/>
      <c r="I26" s="13"/>
      <c r="J26" s="13"/>
      <c r="K26" s="13"/>
      <c r="L26" s="13"/>
      <c r="M26" s="13"/>
      <c r="O26" s="12" t="inlineStr">
        <is>
          <t xml:space="preserve">Accept handover</t>
        </is>
      </c>
      <c r="P26" s="12" t="inlineStr">
        <is>
          <t xml:space="preserve">Gate 5: Program handover</t>
        </is>
      </c>
    </row>
    <row r="27" customFormat="false" ht="15" hidden="false" customHeight="false" outlineLevel="0" collapsed="false">
      <c r="A27" s="13"/>
      <c r="B27" s="14"/>
      <c r="C27" s="13"/>
      <c r="D27" s="13"/>
      <c r="E27" s="13"/>
      <c r="F27" s="13"/>
      <c r="G27" s="13"/>
      <c r="H27" s="13"/>
      <c r="I27" s="13"/>
      <c r="J27" s="13"/>
      <c r="K27" s="13"/>
      <c r="L27" s="13"/>
      <c r="M27" s="13"/>
      <c r="O27" s="12" t="inlineStr">
        <is>
          <t xml:space="preserve">Accept with conditions</t>
        </is>
      </c>
      <c r="P27" s="12" t="inlineStr">
        <is>
          <t xml:space="preserve">Gate 5: Program handover</t>
        </is>
      </c>
    </row>
    <row r="28" customFormat="false" ht="15" hidden="false" customHeight="false" outlineLevel="0" collapsed="false">
      <c r="A28" s="13"/>
      <c r="B28" s="14"/>
      <c r="C28" s="13"/>
      <c r="D28" s="13"/>
      <c r="E28" s="13"/>
      <c r="F28" s="13"/>
      <c r="G28" s="13"/>
      <c r="H28" s="13"/>
      <c r="I28" s="13"/>
      <c r="J28" s="13"/>
      <c r="K28" s="13"/>
      <c r="L28" s="13"/>
      <c r="M28" s="13"/>
      <c r="O28" s="12" t="inlineStr">
        <is>
          <t xml:space="preserve">Defer</t>
        </is>
      </c>
      <c r="P28" s="12" t="inlineStr">
        <is>
          <t xml:space="preserve">Gate 5: Program handover</t>
        </is>
      </c>
    </row>
    <row r="29" customFormat="false" ht="15" hidden="false" customHeight="false" outlineLevel="0" collapsed="false">
      <c r="A29" s="13"/>
      <c r="B29" s="14"/>
      <c r="C29" s="13"/>
      <c r="D29" s="13"/>
      <c r="E29" s="13"/>
      <c r="F29" s="13"/>
      <c r="G29" s="13"/>
      <c r="H29" s="13"/>
      <c r="I29" s="13"/>
      <c r="J29" s="13"/>
      <c r="K29" s="13"/>
      <c r="L29" s="13"/>
      <c r="M29" s="13"/>
    </row>
    <row r="31" customFormat="false" ht="15" hidden="false" customHeight="false" outlineLevel="0" collapsed="false">
      <c r="A31" s="9" t="s">
        <v>1446</v>
      </c>
    </row>
    <row r="32" customFormat="false" ht="15" hidden="false" customHeight="false" outlineLevel="0" collapsed="false">
      <c r="A32" s="9" t="s">
        <v>1447</v>
      </c>
    </row>
  </sheetData>
  <dataValidations count="4">
    <dataValidation allowBlank="true" errorStyle="stop" operator="between" showDropDown="false" showErrorMessage="false" showInputMessage="false" sqref="K6:K29" type="list">
      <formula1>"Green,Green/Amber,Amber,Amber/Red,Red,Not reviewed"</formula1>
      <formula2>0</formula2>
    </dataValidation>
    <dataValidation allowBlank="true" errorStyle="stop" operator="between" showDropDown="false" showErrorMessage="false" showInputMessage="false" sqref="L6:L29" type="list">
      <formula1>"Y,N,N/A"</formula1>
      <formula2>0</formula2>
    </dataValidation>
    <dataValidation allowBlank="true" errorStyle="stop" operator="between" showDropDown="false" showErrorMessage="false" showInputMessage="false" sqref="D6:D29" type="list">
      <formula1>$O$6:$O$28</formula1>
      <formula2>0</formula2>
    </dataValidation>
    <dataValidation type="date" operator="greaterThanOrEqual" allowBlank="true" showDropDown="false" showInputMessage="true" showErrorMessage="true" errorTitle="Enter a date" error="Enter a real date (yyyy-mm-dd), not text. Formulas that use this date fail silently on text." sqref="B6:B32">
      <formula1>1</formula1>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K3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8" topLeftCell="A9"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3"/>
    <col collapsed="false" customWidth="true" hidden="false" outlineLevel="0" max="3" min="2" style="0" width="11"/>
    <col collapsed="false" customWidth="true" hidden="false" outlineLevel="0" max="4" min="4" style="0" width="34"/>
    <col collapsed="false" customWidth="true" hidden="false" outlineLevel="0" max="5" min="5" style="0" width="24"/>
    <col collapsed="false" customWidth="true" hidden="false" outlineLevel="0" max="6" min="6" style="0" width="28"/>
    <col collapsed="false" customWidth="true" hidden="false" outlineLevel="0" max="7" min="7" style="0" width="10"/>
    <col collapsed="false" customWidth="true" hidden="false" outlineLevel="0" max="8" min="8" style="0" width="14"/>
    <col collapsed="false" customWidth="true" hidden="false" outlineLevel="0" max="9" min="9" style="0" width="16"/>
    <col collapsed="false" customWidth="true" hidden="false" outlineLevel="0" max="10" min="10" style="0" width="11"/>
    <col collapsed="false" customWidth="true" hidden="false" outlineLevel="0" max="11" min="11" style="0" width="24"/>
  </cols>
  <sheetData>
    <row r="1" customFormat="false" ht="17.35" hidden="false" customHeight="false" outlineLevel="0" collapsed="false">
      <c r="A1" s="10" t="s">
        <v>1448</v>
      </c>
    </row>
    <row r="2" customFormat="false" ht="15" hidden="false" customHeight="false" outlineLevel="0" collapsed="false">
      <c r="A2" s="11" t="s">
        <v>1449</v>
      </c>
    </row>
    <row r="3" customFormat="false" ht="15" hidden="false" customHeight="false" outlineLevel="0" collapsed="false">
      <c r="A3" s="9" t="s">
        <v>134</v>
      </c>
    </row>
    <row r="5" customFormat="false" ht="45" hidden="false" customHeight="true" outlineLevel="0" collapsed="false">
      <c r="A5" s="18" t="s">
        <v>1450</v>
      </c>
      <c r="B5" s="18"/>
      <c r="C5" s="18"/>
      <c r="D5" s="18"/>
      <c r="E5" s="18"/>
      <c r="F5" s="18"/>
      <c r="G5" s="18"/>
      <c r="H5" s="18"/>
      <c r="I5" s="18"/>
      <c r="J5" s="18"/>
      <c r="K5" s="18"/>
    </row>
    <row r="7" customFormat="false" ht="30" hidden="false" customHeight="true" outlineLevel="0" collapsed="false">
      <c r="A7" s="6" t="s">
        <v>474</v>
      </c>
      <c r="B7" s="6" t="s">
        <v>401</v>
      </c>
      <c r="C7" s="6" t="s">
        <v>14</v>
      </c>
      <c r="D7" s="6" t="s">
        <v>465</v>
      </c>
      <c r="E7" s="6" t="s">
        <v>1316</v>
      </c>
      <c r="F7" s="6" t="s">
        <v>1451</v>
      </c>
      <c r="G7" s="6" t="s">
        <v>1452</v>
      </c>
      <c r="H7" s="6" t="s">
        <v>1453</v>
      </c>
      <c r="I7" s="6" t="s">
        <v>1318</v>
      </c>
      <c r="J7" s="6" t="s">
        <v>943</v>
      </c>
      <c r="K7" s="6" t="s">
        <v>196</v>
      </c>
    </row>
    <row r="8" customFormat="false" ht="22.35" hidden="false" customHeight="false" outlineLevel="0" collapsed="false">
      <c r="A8" s="42" t="s">
        <v>1454</v>
      </c>
      <c r="B8" s="42" t="s">
        <v>1455</v>
      </c>
      <c r="C8" s="42" t="s">
        <v>1456</v>
      </c>
      <c r="D8" s="42" t="s">
        <v>1457</v>
      </c>
      <c r="E8" s="42" t="s">
        <v>1458</v>
      </c>
      <c r="F8" s="42" t="s">
        <v>1459</v>
      </c>
      <c r="G8" s="42" t="s">
        <v>905</v>
      </c>
      <c r="H8" s="42" t="s">
        <v>713</v>
      </c>
      <c r="I8" s="42" t="s">
        <v>1460</v>
      </c>
      <c r="J8" s="58"/>
      <c r="K8" s="42"/>
    </row>
    <row r="9" customFormat="false" ht="15" hidden="false" customHeight="false" outlineLevel="0" collapsed="false">
      <c r="A9" s="13"/>
      <c r="B9" s="13"/>
      <c r="C9" s="13"/>
      <c r="D9" s="13"/>
      <c r="E9" s="13"/>
      <c r="F9" s="13"/>
      <c r="G9" s="13"/>
      <c r="H9" s="13"/>
      <c r="I9" s="13"/>
      <c r="J9" s="14"/>
      <c r="K9" s="17" t="str">
        <f aca="false">IF(H9="Y","NOT PERMITTED: minimum mandatory set",IF(AND(D9&lt;&gt;"",I9=""),"Needs approval",""))</f>
        <v/>
      </c>
    </row>
    <row r="10" customFormat="false" ht="15" hidden="false" customHeight="false" outlineLevel="0" collapsed="false">
      <c r="A10" s="13"/>
      <c r="B10" s="13"/>
      <c r="C10" s="13"/>
      <c r="D10" s="13"/>
      <c r="E10" s="13"/>
      <c r="F10" s="13"/>
      <c r="G10" s="13"/>
      <c r="H10" s="13"/>
      <c r="I10" s="13"/>
      <c r="J10" s="14"/>
      <c r="K10" s="17" t="str">
        <f aca="false">IF(H10="Y","NOT PERMITTED: minimum mandatory set",IF(AND(D10&lt;&gt;"",I10=""),"Needs approval",""))</f>
        <v/>
      </c>
    </row>
    <row r="11" customFormat="false" ht="15" hidden="false" customHeight="false" outlineLevel="0" collapsed="false">
      <c r="A11" s="13"/>
      <c r="B11" s="13"/>
      <c r="C11" s="13"/>
      <c r="D11" s="13"/>
      <c r="E11" s="13"/>
      <c r="F11" s="13"/>
      <c r="G11" s="13"/>
      <c r="H11" s="13"/>
      <c r="I11" s="13"/>
      <c r="J11" s="14"/>
      <c r="K11" s="17" t="str">
        <f aca="false">IF(H11="Y","NOT PERMITTED: minimum mandatory set",IF(AND(D11&lt;&gt;"",I11=""),"Needs approval",""))</f>
        <v/>
      </c>
    </row>
    <row r="12" customFormat="false" ht="15" hidden="false" customHeight="false" outlineLevel="0" collapsed="false">
      <c r="A12" s="13"/>
      <c r="B12" s="13"/>
      <c r="C12" s="13"/>
      <c r="D12" s="13"/>
      <c r="E12" s="13"/>
      <c r="F12" s="13"/>
      <c r="G12" s="13"/>
      <c r="H12" s="13"/>
      <c r="I12" s="13"/>
      <c r="J12" s="14"/>
      <c r="K12" s="17" t="str">
        <f aca="false">IF(H12="Y","NOT PERMITTED: minimum mandatory set",IF(AND(D12&lt;&gt;"",I12=""),"Needs approval",""))</f>
        <v/>
      </c>
    </row>
    <row r="13" customFormat="false" ht="15" hidden="false" customHeight="false" outlineLevel="0" collapsed="false">
      <c r="A13" s="13"/>
      <c r="B13" s="13"/>
      <c r="C13" s="13"/>
      <c r="D13" s="13"/>
      <c r="E13" s="13"/>
      <c r="F13" s="13"/>
      <c r="G13" s="13"/>
      <c r="H13" s="13"/>
      <c r="I13" s="13"/>
      <c r="J13" s="14"/>
      <c r="K13" s="17" t="str">
        <f aca="false">IF(H13="Y","NOT PERMITTED: minimum mandatory set",IF(AND(D13&lt;&gt;"",I13=""),"Needs approval",""))</f>
        <v/>
      </c>
    </row>
    <row r="14" customFormat="false" ht="15" hidden="false" customHeight="false" outlineLevel="0" collapsed="false">
      <c r="A14" s="13"/>
      <c r="B14" s="13"/>
      <c r="C14" s="13"/>
      <c r="D14" s="13"/>
      <c r="E14" s="13"/>
      <c r="F14" s="13"/>
      <c r="G14" s="13"/>
      <c r="H14" s="13"/>
      <c r="I14" s="13"/>
      <c r="J14" s="14"/>
      <c r="K14" s="17" t="str">
        <f aca="false">IF(H14="Y","NOT PERMITTED: minimum mandatory set",IF(AND(D14&lt;&gt;"",I14=""),"Needs approval",""))</f>
        <v/>
      </c>
    </row>
    <row r="15" customFormat="false" ht="15" hidden="false" customHeight="false" outlineLevel="0" collapsed="false">
      <c r="A15" s="13"/>
      <c r="B15" s="13"/>
      <c r="C15" s="13"/>
      <c r="D15" s="13"/>
      <c r="E15" s="13"/>
      <c r="F15" s="13"/>
      <c r="G15" s="13"/>
      <c r="H15" s="13"/>
      <c r="I15" s="13"/>
      <c r="J15" s="14"/>
      <c r="K15" s="17" t="str">
        <f aca="false">IF(H15="Y","NOT PERMITTED: minimum mandatory set",IF(AND(D15&lt;&gt;"",I15=""),"Needs approval",""))</f>
        <v/>
      </c>
    </row>
    <row r="16" customFormat="false" ht="15" hidden="false" customHeight="false" outlineLevel="0" collapsed="false">
      <c r="A16" s="13"/>
      <c r="B16" s="13"/>
      <c r="C16" s="13"/>
      <c r="D16" s="13"/>
      <c r="E16" s="13"/>
      <c r="F16" s="13"/>
      <c r="G16" s="13"/>
      <c r="H16" s="13"/>
      <c r="I16" s="13"/>
      <c r="J16" s="14"/>
      <c r="K16" s="17" t="str">
        <f aca="false">IF(H16="Y","NOT PERMITTED: minimum mandatory set",IF(AND(D16&lt;&gt;"",I16=""),"Needs approval",""))</f>
        <v/>
      </c>
    </row>
    <row r="17" customFormat="false" ht="15" hidden="false" customHeight="false" outlineLevel="0" collapsed="false">
      <c r="A17" s="13"/>
      <c r="B17" s="13"/>
      <c r="C17" s="13"/>
      <c r="D17" s="13"/>
      <c r="E17" s="13"/>
      <c r="F17" s="13"/>
      <c r="G17" s="13"/>
      <c r="H17" s="13"/>
      <c r="I17" s="13"/>
      <c r="J17" s="14"/>
      <c r="K17" s="17" t="str">
        <f aca="false">IF(H17="Y","NOT PERMITTED: minimum mandatory set",IF(AND(D17&lt;&gt;"",I17=""),"Needs approval",""))</f>
        <v/>
      </c>
    </row>
    <row r="18" customFormat="false" ht="15" hidden="false" customHeight="false" outlineLevel="0" collapsed="false">
      <c r="A18" s="13"/>
      <c r="B18" s="13"/>
      <c r="C18" s="13"/>
      <c r="D18" s="13"/>
      <c r="E18" s="13"/>
      <c r="F18" s="13"/>
      <c r="G18" s="13"/>
      <c r="H18" s="13"/>
      <c r="I18" s="13"/>
      <c r="J18" s="14"/>
      <c r="K18" s="17" t="str">
        <f aca="false">IF(H18="Y","NOT PERMITTED: minimum mandatory set",IF(AND(D18&lt;&gt;"",I18=""),"Needs approval",""))</f>
        <v/>
      </c>
    </row>
    <row r="19" customFormat="false" ht="15" hidden="false" customHeight="false" outlineLevel="0" collapsed="false">
      <c r="A19" s="13"/>
      <c r="B19" s="13"/>
      <c r="C19" s="13"/>
      <c r="D19" s="13"/>
      <c r="E19" s="13"/>
      <c r="F19" s="13"/>
      <c r="G19" s="13"/>
      <c r="H19" s="13"/>
      <c r="I19" s="13"/>
      <c r="J19" s="14"/>
      <c r="K19" s="17" t="str">
        <f aca="false">IF(H19="Y","NOT PERMITTED: minimum mandatory set",IF(AND(D19&lt;&gt;"",I19=""),"Needs approval",""))</f>
        <v/>
      </c>
    </row>
    <row r="20" customFormat="false" ht="15" hidden="false" customHeight="false" outlineLevel="0" collapsed="false">
      <c r="A20" s="13"/>
      <c r="B20" s="13"/>
      <c r="C20" s="13"/>
      <c r="D20" s="13"/>
      <c r="E20" s="13"/>
      <c r="F20" s="13"/>
      <c r="G20" s="13"/>
      <c r="H20" s="13"/>
      <c r="I20" s="13"/>
      <c r="J20" s="14"/>
      <c r="K20" s="17" t="str">
        <f aca="false">IF(H20="Y","NOT PERMITTED: minimum mandatory set",IF(AND(D20&lt;&gt;"",I20=""),"Needs approval",""))</f>
        <v/>
      </c>
    </row>
    <row r="21" customFormat="false" ht="15" hidden="false" customHeight="false" outlineLevel="0" collapsed="false">
      <c r="A21" s="13"/>
      <c r="B21" s="13"/>
      <c r="C21" s="13"/>
      <c r="D21" s="13"/>
      <c r="E21" s="13"/>
      <c r="F21" s="13"/>
      <c r="G21" s="13"/>
      <c r="H21" s="13"/>
      <c r="I21" s="13"/>
      <c r="J21" s="14"/>
      <c r="K21" s="17" t="str">
        <f aca="false">IF(H21="Y","NOT PERMITTED: minimum mandatory set",IF(AND(D21&lt;&gt;"",I21=""),"Needs approval",""))</f>
        <v/>
      </c>
    </row>
    <row r="22" customFormat="false" ht="15" hidden="false" customHeight="false" outlineLevel="0" collapsed="false">
      <c r="A22" s="13"/>
      <c r="B22" s="13"/>
      <c r="C22" s="13"/>
      <c r="D22" s="13"/>
      <c r="E22" s="13"/>
      <c r="F22" s="13"/>
      <c r="G22" s="13"/>
      <c r="H22" s="13"/>
      <c r="I22" s="13"/>
      <c r="J22" s="14"/>
      <c r="K22" s="17" t="str">
        <f aca="false">IF(H22="Y","NOT PERMITTED: minimum mandatory set",IF(AND(D22&lt;&gt;"",I22=""),"Needs approval",""))</f>
        <v/>
      </c>
    </row>
    <row r="23" customFormat="false" ht="15" hidden="false" customHeight="false" outlineLevel="0" collapsed="false">
      <c r="A23" s="13"/>
      <c r="B23" s="13"/>
      <c r="C23" s="13"/>
      <c r="D23" s="13"/>
      <c r="E23" s="13"/>
      <c r="F23" s="13"/>
      <c r="G23" s="13"/>
      <c r="H23" s="13"/>
      <c r="I23" s="13"/>
      <c r="J23" s="14"/>
      <c r="K23" s="17" t="str">
        <f aca="false">IF(H23="Y","NOT PERMITTED: minimum mandatory set",IF(AND(D23&lt;&gt;"",I23=""),"Needs approval",""))</f>
        <v/>
      </c>
    </row>
    <row r="24" customFormat="false" ht="15" hidden="false" customHeight="false" outlineLevel="0" collapsed="false">
      <c r="A24" s="13"/>
      <c r="B24" s="13"/>
      <c r="C24" s="13"/>
      <c r="D24" s="13"/>
      <c r="E24" s="13"/>
      <c r="F24" s="13"/>
      <c r="G24" s="13"/>
      <c r="H24" s="13"/>
      <c r="I24" s="13"/>
      <c r="J24" s="14"/>
      <c r="K24" s="17" t="str">
        <f aca="false">IF(H24="Y","NOT PERMITTED: minimum mandatory set",IF(AND(D24&lt;&gt;"",I24=""),"Needs approval",""))</f>
        <v/>
      </c>
    </row>
    <row r="25" customFormat="false" ht="15" hidden="false" customHeight="false" outlineLevel="0" collapsed="false">
      <c r="A25" s="13"/>
      <c r="B25" s="13"/>
      <c r="C25" s="13"/>
      <c r="D25" s="13"/>
      <c r="E25" s="13"/>
      <c r="F25" s="13"/>
      <c r="G25" s="13"/>
      <c r="H25" s="13"/>
      <c r="I25" s="13"/>
      <c r="J25" s="14"/>
      <c r="K25" s="17" t="str">
        <f aca="false">IF(H25="Y","NOT PERMITTED: minimum mandatory set",IF(AND(D25&lt;&gt;"",I25=""),"Needs approval",""))</f>
        <v/>
      </c>
    </row>
    <row r="26" customFormat="false" ht="15" hidden="false" customHeight="false" outlineLevel="0" collapsed="false">
      <c r="A26" s="13"/>
      <c r="B26" s="13"/>
      <c r="C26" s="13"/>
      <c r="D26" s="13"/>
      <c r="E26" s="13"/>
      <c r="F26" s="13"/>
      <c r="G26" s="13"/>
      <c r="H26" s="13"/>
      <c r="I26" s="13"/>
      <c r="J26" s="14"/>
      <c r="K26" s="17" t="str">
        <f aca="false">IF(H26="Y","NOT PERMITTED: minimum mandatory set",IF(AND(D26&lt;&gt;"",I26=""),"Needs approval",""))</f>
        <v/>
      </c>
    </row>
    <row r="27" customFormat="false" ht="15" hidden="false" customHeight="false" outlineLevel="0" collapsed="false">
      <c r="A27" s="13"/>
      <c r="B27" s="13"/>
      <c r="C27" s="13"/>
      <c r="D27" s="13"/>
      <c r="E27" s="13"/>
      <c r="F27" s="13"/>
      <c r="G27" s="13"/>
      <c r="H27" s="13"/>
      <c r="I27" s="13"/>
      <c r="J27" s="14"/>
      <c r="K27" s="17" t="str">
        <f aca="false">IF(H27="Y","NOT PERMITTED: minimum mandatory set",IF(AND(D27&lt;&gt;"",I27=""),"Needs approval",""))</f>
        <v/>
      </c>
    </row>
    <row r="28" customFormat="false" ht="15" hidden="false" customHeight="false" outlineLevel="0" collapsed="false">
      <c r="A28" s="13"/>
      <c r="B28" s="13"/>
      <c r="C28" s="13"/>
      <c r="D28" s="13"/>
      <c r="E28" s="13"/>
      <c r="F28" s="13"/>
      <c r="G28" s="13"/>
      <c r="H28" s="13"/>
      <c r="I28" s="13"/>
      <c r="J28" s="14"/>
      <c r="K28" s="17" t="str">
        <f aca="false">IF(H28="Y","NOT PERMITTED: minimum mandatory set",IF(AND(D28&lt;&gt;"",I28=""),"Needs approval",""))</f>
        <v/>
      </c>
    </row>
    <row r="29" customFormat="false" ht="15" hidden="false" customHeight="false" outlineLevel="0" collapsed="false">
      <c r="A29" s="13"/>
      <c r="B29" s="13"/>
      <c r="C29" s="13"/>
      <c r="D29" s="13"/>
      <c r="E29" s="13"/>
      <c r="F29" s="13"/>
      <c r="G29" s="13"/>
      <c r="H29" s="13"/>
      <c r="I29" s="13"/>
      <c r="J29" s="14"/>
      <c r="K29" s="17" t="str">
        <f aca="false">IF(H29="Y","NOT PERMITTED: minimum mandatory set",IF(AND(D29&lt;&gt;"",I29=""),"Needs approval",""))</f>
        <v/>
      </c>
    </row>
    <row r="30" customFormat="false" ht="15" hidden="false" customHeight="false" outlineLevel="0" collapsed="false">
      <c r="A30" s="13"/>
      <c r="B30" s="13"/>
      <c r="C30" s="13"/>
      <c r="D30" s="13"/>
      <c r="E30" s="13"/>
      <c r="F30" s="13"/>
      <c r="G30" s="13"/>
      <c r="H30" s="13"/>
      <c r="I30" s="13"/>
      <c r="J30" s="14"/>
      <c r="K30" s="17" t="str">
        <f aca="false">IF(H30="Y","NOT PERMITTED: minimum mandatory set",IF(AND(D30&lt;&gt;"",I30=""),"Needs approval",""))</f>
        <v/>
      </c>
    </row>
    <row r="31" customFormat="false" ht="15" hidden="false" customHeight="false" outlineLevel="0" collapsed="false">
      <c r="A31" s="13"/>
      <c r="B31" s="13"/>
      <c r="C31" s="13"/>
      <c r="D31" s="13"/>
      <c r="E31" s="13"/>
      <c r="F31" s="13"/>
      <c r="G31" s="13"/>
      <c r="H31" s="13"/>
      <c r="I31" s="13"/>
      <c r="J31" s="14"/>
      <c r="K31" s="17" t="str">
        <f aca="false">IF(H31="Y","NOT PERMITTED: minimum mandatory set",IF(AND(D31&lt;&gt;"",I31=""),"Needs approval",""))</f>
        <v/>
      </c>
    </row>
    <row r="32" customFormat="false" ht="15" hidden="false" customHeight="false" outlineLevel="0" collapsed="false">
      <c r="A32" s="13"/>
      <c r="B32" s="13"/>
      <c r="C32" s="13"/>
      <c r="D32" s="13"/>
      <c r="E32" s="13"/>
      <c r="F32" s="13"/>
      <c r="G32" s="13"/>
      <c r="H32" s="13"/>
      <c r="I32" s="13"/>
      <c r="J32" s="14"/>
      <c r="K32" s="17" t="str">
        <f aca="false">IF(H32="Y","NOT PERMITTED: minimum mandatory set",IF(AND(D32&lt;&gt;"",I32=""),"Needs approval",""))</f>
        <v/>
      </c>
    </row>
    <row r="33" customFormat="false" ht="15" hidden="false" customHeight="false" outlineLevel="0" collapsed="false">
      <c r="A33" s="13"/>
      <c r="B33" s="13"/>
      <c r="C33" s="13"/>
      <c r="D33" s="13"/>
      <c r="E33" s="13"/>
      <c r="F33" s="13"/>
      <c r="G33" s="13"/>
      <c r="H33" s="13"/>
      <c r="I33" s="13"/>
      <c r="J33" s="14"/>
      <c r="K33" s="17" t="str">
        <f aca="false">IF(H33="Y","NOT PERMITTED: minimum mandatory set",IF(AND(D33&lt;&gt;"",I33=""),"Needs approval",""))</f>
        <v/>
      </c>
    </row>
  </sheetData>
  <mergeCells count="1">
    <mergeCell ref="A5:K5"/>
  </mergeCells>
  <dataValidations count="3">
    <dataValidation allowBlank="true" errorStyle="stop" operator="between" showDropDown="false" showErrorMessage="false" showInputMessage="false" sqref="B9:B33" type="list">
      <formula1>"Tailoring,Deviation"</formula1>
      <formula2>0</formula2>
    </dataValidation>
    <dataValidation allowBlank="true" errorStyle="stop" operator="between" showDropDown="false" showErrorMessage="false" showInputMessage="false" sqref="H9:H33" type="list">
      <formula1>"Y,N"</formula1>
      <formula2>0</formula2>
    </dataValidation>
    <dataValidation type="date" operator="greaterThanOrEqual" allowBlank="true" showDropDown="false" showInputMessage="true" showErrorMessage="true" errorTitle="Enter a date" error="Enter a real date (yyyy-mm-dd), not text. Formulas that use this date fail silently on text." sqref="J8:J33">
      <formula1>1</formula1>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J5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5" topLeftCell="C6" activePane="bottomRight" state="frozen"/>
      <selection pane="topLeft" activeCell="A1" activeCellId="0" sqref="A1"/>
      <selection pane="topRight" activeCell="C1" activeCellId="0" sqref="C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8"/>
    <col collapsed="false" customWidth="true" hidden="false" outlineLevel="0" max="2" min="2" style="0" width="36"/>
    <col collapsed="false" customWidth="true" hidden="false" outlineLevel="0" max="3" min="3" style="0" width="7"/>
    <col collapsed="false" customWidth="true" hidden="false" outlineLevel="0" max="4" min="4" style="0" width="9"/>
    <col collapsed="false" customWidth="true" hidden="false" outlineLevel="0" max="5" min="5" style="0" width="12"/>
    <col collapsed="false" customWidth="true" hidden="false" outlineLevel="0" max="6" min="6" style="0" width="16"/>
    <col collapsed="false" customWidth="true" hidden="false" outlineLevel="0" max="7" min="7" style="0" width="18"/>
    <col collapsed="false" customWidth="true" hidden="false" outlineLevel="0" max="8" min="8" style="0" width="12"/>
    <col collapsed="false" customWidth="true" hidden="false" outlineLevel="0" max="9" min="9" style="0" width="24"/>
    <col collapsed="false" customWidth="true" hidden="false" outlineLevel="0" max="10" min="10" style="0" width="22"/>
  </cols>
  <sheetData>
    <row r="1" customFormat="false" ht="17.35" hidden="false" customHeight="false" outlineLevel="0" collapsed="false">
      <c r="A1" s="10" t="s">
        <v>1461</v>
      </c>
    </row>
    <row r="2" customFormat="false" ht="15" hidden="false" customHeight="false" outlineLevel="0" collapsed="false">
      <c r="A2" s="11" t="s">
        <v>1462</v>
      </c>
    </row>
    <row r="3" customFormat="false" ht="15" hidden="false" customHeight="false" outlineLevel="0" collapsed="false">
      <c r="A3" s="9" t="s">
        <v>134</v>
      </c>
    </row>
    <row r="5" customFormat="false" ht="30" hidden="false" customHeight="true" outlineLevel="0" collapsed="false">
      <c r="A5" s="6" t="s">
        <v>1463</v>
      </c>
      <c r="B5" s="6" t="s">
        <v>1464</v>
      </c>
      <c r="C5" s="6" t="s">
        <v>856</v>
      </c>
      <c r="D5" s="6" t="s">
        <v>1465</v>
      </c>
      <c r="E5" s="6" t="s">
        <v>861</v>
      </c>
      <c r="F5" s="6" t="s">
        <v>140</v>
      </c>
      <c r="G5" s="6" t="s">
        <v>1466</v>
      </c>
      <c r="H5" s="6" t="s">
        <v>1467</v>
      </c>
      <c r="I5" s="6" t="s">
        <v>1468</v>
      </c>
      <c r="J5" s="6" t="s">
        <v>219</v>
      </c>
    </row>
    <row r="6" customFormat="false" ht="15" hidden="false" customHeight="false" outlineLevel="0" collapsed="false">
      <c r="A6" s="12" t="s">
        <v>870</v>
      </c>
      <c r="B6" s="8" t="s">
        <v>1469</v>
      </c>
      <c r="C6" s="8" t="s">
        <v>864</v>
      </c>
      <c r="D6" s="13"/>
      <c r="E6" s="13" t="s">
        <v>866</v>
      </c>
      <c r="F6" s="13"/>
      <c r="G6" s="13"/>
      <c r="H6" s="14"/>
      <c r="I6" s="13"/>
      <c r="J6" s="13"/>
    </row>
    <row r="7" customFormat="false" ht="15" hidden="false" customHeight="false" outlineLevel="0" collapsed="false">
      <c r="A7" s="12" t="s">
        <v>872</v>
      </c>
      <c r="B7" s="8" t="s">
        <v>1470</v>
      </c>
      <c r="C7" s="8" t="s">
        <v>864</v>
      </c>
      <c r="D7" s="13"/>
      <c r="E7" s="13" t="s">
        <v>866</v>
      </c>
      <c r="F7" s="13"/>
      <c r="G7" s="13"/>
      <c r="H7" s="14"/>
      <c r="I7" s="13"/>
      <c r="J7" s="13"/>
    </row>
    <row r="8" customFormat="false" ht="15" hidden="false" customHeight="false" outlineLevel="0" collapsed="false">
      <c r="A8" s="12" t="s">
        <v>874</v>
      </c>
      <c r="B8" s="8" t="s">
        <v>1471</v>
      </c>
      <c r="C8" s="8" t="s">
        <v>864</v>
      </c>
      <c r="D8" s="13"/>
      <c r="E8" s="13" t="s">
        <v>866</v>
      </c>
      <c r="F8" s="13"/>
      <c r="G8" s="13"/>
      <c r="H8" s="14"/>
      <c r="I8" s="13"/>
      <c r="J8" s="13"/>
    </row>
    <row r="9" customFormat="false" ht="15" hidden="false" customHeight="false" outlineLevel="0" collapsed="false">
      <c r="A9" s="12" t="s">
        <v>868</v>
      </c>
      <c r="B9" s="8" t="s">
        <v>1472</v>
      </c>
      <c r="C9" s="8" t="s">
        <v>864</v>
      </c>
      <c r="D9" s="13"/>
      <c r="E9" s="13" t="s">
        <v>866</v>
      </c>
      <c r="F9" s="13"/>
      <c r="G9" s="13"/>
      <c r="H9" s="14"/>
      <c r="I9" s="13"/>
      <c r="J9" s="13"/>
    </row>
    <row r="10" customFormat="false" ht="15" hidden="false" customHeight="false" outlineLevel="0" collapsed="false">
      <c r="A10" s="12" t="s">
        <v>876</v>
      </c>
      <c r="B10" s="8" t="s">
        <v>1473</v>
      </c>
      <c r="C10" s="8" t="s">
        <v>864</v>
      </c>
      <c r="D10" s="13"/>
      <c r="E10" s="13" t="s">
        <v>866</v>
      </c>
      <c r="F10" s="13"/>
      <c r="G10" s="13"/>
      <c r="H10" s="14"/>
      <c r="I10" s="13"/>
      <c r="J10" s="13"/>
    </row>
    <row r="11" customFormat="false" ht="15" hidden="false" customHeight="false" outlineLevel="0" collapsed="false">
      <c r="A11" s="12" t="s">
        <v>882</v>
      </c>
      <c r="B11" s="8" t="s">
        <v>1474</v>
      </c>
      <c r="C11" s="8" t="s">
        <v>880</v>
      </c>
      <c r="D11" s="13"/>
      <c r="E11" s="13" t="s">
        <v>866</v>
      </c>
      <c r="F11" s="13"/>
      <c r="G11" s="13"/>
      <c r="H11" s="14"/>
      <c r="I11" s="13"/>
      <c r="J11" s="13"/>
    </row>
    <row r="12" customFormat="false" ht="15" hidden="false" customHeight="false" outlineLevel="0" collapsed="false">
      <c r="A12" s="12" t="s">
        <v>884</v>
      </c>
      <c r="B12" s="8" t="s">
        <v>1475</v>
      </c>
      <c r="C12" s="8" t="s">
        <v>880</v>
      </c>
      <c r="D12" s="13"/>
      <c r="E12" s="13" t="s">
        <v>866</v>
      </c>
      <c r="F12" s="13"/>
      <c r="G12" s="13"/>
      <c r="H12" s="14"/>
      <c r="I12" s="13"/>
      <c r="J12" s="13"/>
    </row>
    <row r="13" customFormat="false" ht="15" hidden="false" customHeight="false" outlineLevel="0" collapsed="false">
      <c r="A13" s="12" t="s">
        <v>886</v>
      </c>
      <c r="B13" s="8" t="s">
        <v>1476</v>
      </c>
      <c r="C13" s="8" t="s">
        <v>880</v>
      </c>
      <c r="D13" s="13"/>
      <c r="E13" s="13" t="s">
        <v>866</v>
      </c>
      <c r="F13" s="13"/>
      <c r="G13" s="13"/>
      <c r="H13" s="14"/>
      <c r="I13" s="13"/>
      <c r="J13" s="13"/>
    </row>
    <row r="14" customFormat="false" ht="15" hidden="false" customHeight="false" outlineLevel="0" collapsed="false">
      <c r="A14" s="12" t="s">
        <v>888</v>
      </c>
      <c r="B14" s="8" t="s">
        <v>887</v>
      </c>
      <c r="C14" s="8" t="s">
        <v>880</v>
      </c>
      <c r="D14" s="13"/>
      <c r="E14" s="13" t="s">
        <v>866</v>
      </c>
      <c r="F14" s="13"/>
      <c r="G14" s="13"/>
      <c r="H14" s="14"/>
      <c r="I14" s="13"/>
      <c r="J14" s="13"/>
    </row>
    <row r="15" customFormat="false" ht="15" hidden="false" customHeight="false" outlineLevel="0" collapsed="false">
      <c r="A15" s="12" t="s">
        <v>890</v>
      </c>
      <c r="B15" s="8" t="s">
        <v>1477</v>
      </c>
      <c r="C15" s="8" t="s">
        <v>880</v>
      </c>
      <c r="D15" s="13"/>
      <c r="E15" s="13" t="s">
        <v>866</v>
      </c>
      <c r="F15" s="13"/>
      <c r="G15" s="13"/>
      <c r="H15" s="14"/>
      <c r="I15" s="13"/>
      <c r="J15" s="13"/>
    </row>
    <row r="16" customFormat="false" ht="15" hidden="false" customHeight="false" outlineLevel="0" collapsed="false">
      <c r="A16" s="12" t="s">
        <v>892</v>
      </c>
      <c r="B16" s="8" t="s">
        <v>891</v>
      </c>
      <c r="C16" s="8" t="s">
        <v>880</v>
      </c>
      <c r="D16" s="13"/>
      <c r="E16" s="13" t="s">
        <v>866</v>
      </c>
      <c r="F16" s="13"/>
      <c r="G16" s="13"/>
      <c r="H16" s="14"/>
      <c r="I16" s="13"/>
      <c r="J16" s="13"/>
    </row>
    <row r="17" customFormat="false" ht="15" hidden="false" customHeight="false" outlineLevel="0" collapsed="false">
      <c r="A17" s="12" t="s">
        <v>894</v>
      </c>
      <c r="B17" s="8" t="s">
        <v>1478</v>
      </c>
      <c r="C17" s="8" t="s">
        <v>880</v>
      </c>
      <c r="D17" s="13"/>
      <c r="E17" s="13" t="s">
        <v>866</v>
      </c>
      <c r="F17" s="13"/>
      <c r="G17" s="13"/>
      <c r="H17" s="14"/>
      <c r="I17" s="13"/>
      <c r="J17" s="13"/>
    </row>
    <row r="18" customFormat="false" ht="15" hidden="false" customHeight="false" outlineLevel="0" collapsed="false">
      <c r="A18" s="12" t="s">
        <v>898</v>
      </c>
      <c r="B18" s="8" t="s">
        <v>1479</v>
      </c>
      <c r="C18" s="8" t="s">
        <v>880</v>
      </c>
      <c r="D18" s="13"/>
      <c r="E18" s="13" t="s">
        <v>866</v>
      </c>
      <c r="F18" s="13"/>
      <c r="G18" s="13"/>
      <c r="H18" s="14"/>
      <c r="I18" s="13"/>
      <c r="J18" s="13"/>
    </row>
    <row r="19" customFormat="false" ht="15" hidden="false" customHeight="false" outlineLevel="0" collapsed="false">
      <c r="A19" s="12" t="s">
        <v>900</v>
      </c>
      <c r="B19" s="8" t="s">
        <v>899</v>
      </c>
      <c r="C19" s="8" t="s">
        <v>880</v>
      </c>
      <c r="D19" s="13"/>
      <c r="E19" s="13" t="s">
        <v>866</v>
      </c>
      <c r="F19" s="13"/>
      <c r="G19" s="13"/>
      <c r="H19" s="14"/>
      <c r="I19" s="13"/>
      <c r="J19" s="13"/>
    </row>
    <row r="20" customFormat="false" ht="15" hidden="false" customHeight="false" outlineLevel="0" collapsed="false">
      <c r="A20" s="12" t="s">
        <v>909</v>
      </c>
      <c r="B20" s="8" t="s">
        <v>1480</v>
      </c>
      <c r="C20" s="8" t="s">
        <v>906</v>
      </c>
      <c r="D20" s="13"/>
      <c r="E20" s="13" t="s">
        <v>866</v>
      </c>
      <c r="F20" s="13"/>
      <c r="G20" s="13"/>
      <c r="H20" s="14"/>
      <c r="I20" s="13"/>
      <c r="J20" s="13"/>
    </row>
    <row r="21" customFormat="false" ht="15" hidden="false" customHeight="false" outlineLevel="0" collapsed="false">
      <c r="A21" s="12" t="s">
        <v>912</v>
      </c>
      <c r="B21" s="8" t="s">
        <v>1481</v>
      </c>
      <c r="C21" s="8" t="s">
        <v>906</v>
      </c>
      <c r="D21" s="13"/>
      <c r="E21" s="13" t="s">
        <v>866</v>
      </c>
      <c r="F21" s="13"/>
      <c r="G21" s="13"/>
      <c r="H21" s="14"/>
      <c r="I21" s="13"/>
      <c r="J21" s="13"/>
    </row>
    <row r="22" customFormat="false" ht="15" hidden="false" customHeight="false" outlineLevel="0" collapsed="false">
      <c r="A22" s="12" t="s">
        <v>915</v>
      </c>
      <c r="B22" s="8" t="s">
        <v>1482</v>
      </c>
      <c r="C22" s="8" t="s">
        <v>906</v>
      </c>
      <c r="D22" s="13"/>
      <c r="E22" s="13" t="s">
        <v>866</v>
      </c>
      <c r="F22" s="13"/>
      <c r="G22" s="13"/>
      <c r="H22" s="14"/>
      <c r="I22" s="13"/>
      <c r="J22" s="13"/>
    </row>
    <row r="23" customFormat="false" ht="15" hidden="false" customHeight="false" outlineLevel="0" collapsed="false">
      <c r="A23" s="12" t="s">
        <v>917</v>
      </c>
      <c r="B23" s="8" t="s">
        <v>1483</v>
      </c>
      <c r="C23" s="8" t="s">
        <v>906</v>
      </c>
      <c r="D23" s="13"/>
      <c r="E23" s="13" t="s">
        <v>866</v>
      </c>
      <c r="F23" s="13"/>
      <c r="G23" s="13"/>
      <c r="H23" s="14"/>
      <c r="I23" s="13"/>
      <c r="J23" s="13"/>
    </row>
    <row r="24" customFormat="false" ht="15" hidden="false" customHeight="false" outlineLevel="0" collapsed="false">
      <c r="A24" s="12" t="s">
        <v>1484</v>
      </c>
      <c r="B24" s="8" t="s">
        <v>1485</v>
      </c>
      <c r="C24" s="8" t="s">
        <v>906</v>
      </c>
      <c r="D24" s="13"/>
      <c r="E24" s="13" t="s">
        <v>866</v>
      </c>
      <c r="F24" s="13"/>
      <c r="G24" s="13"/>
      <c r="H24" s="14"/>
      <c r="I24" s="13"/>
      <c r="J24" s="13"/>
    </row>
    <row r="25" customFormat="false" ht="15" hidden="false" customHeight="false" outlineLevel="0" collapsed="false">
      <c r="A25" s="12" t="s">
        <v>1486</v>
      </c>
      <c r="B25" s="8" t="s">
        <v>1487</v>
      </c>
      <c r="C25" s="8" t="s">
        <v>906</v>
      </c>
      <c r="D25" s="13"/>
      <c r="E25" s="13" t="s">
        <v>866</v>
      </c>
      <c r="F25" s="13"/>
      <c r="G25" s="13"/>
      <c r="H25" s="14"/>
      <c r="I25" s="13"/>
      <c r="J25" s="13"/>
    </row>
    <row r="26" customFormat="false" ht="15" hidden="false" customHeight="false" outlineLevel="0" collapsed="false">
      <c r="A26" s="12" t="s">
        <v>921</v>
      </c>
      <c r="B26" s="8" t="s">
        <v>1488</v>
      </c>
      <c r="C26" s="8" t="s">
        <v>1489</v>
      </c>
      <c r="D26" s="13"/>
      <c r="E26" s="13" t="s">
        <v>866</v>
      </c>
      <c r="F26" s="13"/>
      <c r="G26" s="13"/>
      <c r="H26" s="14"/>
      <c r="I26" s="13"/>
      <c r="J26" s="13"/>
    </row>
    <row r="27" customFormat="false" ht="15" hidden="false" customHeight="false" outlineLevel="0" collapsed="false">
      <c r="A27" s="12" t="s">
        <v>923</v>
      </c>
      <c r="B27" s="8" t="s">
        <v>1490</v>
      </c>
      <c r="C27" s="8" t="s">
        <v>1489</v>
      </c>
      <c r="D27" s="13"/>
      <c r="E27" s="13" t="s">
        <v>866</v>
      </c>
      <c r="F27" s="13"/>
      <c r="G27" s="13"/>
      <c r="H27" s="14"/>
      <c r="I27" s="13"/>
      <c r="J27" s="13"/>
    </row>
    <row r="28" customFormat="false" ht="15" hidden="false" customHeight="false" outlineLevel="0" collapsed="false">
      <c r="A28" s="12" t="s">
        <v>925</v>
      </c>
      <c r="B28" s="8" t="s">
        <v>1491</v>
      </c>
      <c r="C28" s="8" t="s">
        <v>1489</v>
      </c>
      <c r="D28" s="13"/>
      <c r="E28" s="13" t="s">
        <v>866</v>
      </c>
      <c r="F28" s="13"/>
      <c r="G28" s="13"/>
      <c r="H28" s="14"/>
      <c r="I28" s="13"/>
      <c r="J28" s="13"/>
    </row>
    <row r="29" customFormat="false" ht="15" hidden="false" customHeight="false" outlineLevel="0" collapsed="false">
      <c r="A29" s="12" t="s">
        <v>927</v>
      </c>
      <c r="B29" s="8" t="s">
        <v>1492</v>
      </c>
      <c r="C29" s="8" t="s">
        <v>1489</v>
      </c>
      <c r="D29" s="13"/>
      <c r="E29" s="13" t="s">
        <v>866</v>
      </c>
      <c r="F29" s="13"/>
      <c r="G29" s="13"/>
      <c r="H29" s="14"/>
      <c r="I29" s="13"/>
      <c r="J29" s="13"/>
    </row>
    <row r="30" customFormat="false" ht="15" hidden="false" customHeight="false" outlineLevel="0" collapsed="false">
      <c r="A30" s="12" t="s">
        <v>933</v>
      </c>
      <c r="B30" s="8" t="s">
        <v>1493</v>
      </c>
      <c r="C30" s="8" t="s">
        <v>1489</v>
      </c>
      <c r="D30" s="13"/>
      <c r="E30" s="13" t="s">
        <v>866</v>
      </c>
      <c r="F30" s="13"/>
      <c r="G30" s="13"/>
      <c r="H30" s="14"/>
      <c r="I30" s="13"/>
      <c r="J30" s="13"/>
    </row>
    <row r="31" customFormat="false" ht="15" hidden="false" customHeight="false" outlineLevel="0" collapsed="false">
      <c r="A31" s="12" t="s">
        <v>1494</v>
      </c>
      <c r="B31" s="8" t="s">
        <v>1495</v>
      </c>
      <c r="C31" s="8" t="s">
        <v>1353</v>
      </c>
      <c r="D31" s="13"/>
      <c r="E31" s="13" t="s">
        <v>866</v>
      </c>
      <c r="F31" s="13"/>
      <c r="G31" s="13"/>
      <c r="H31" s="14"/>
      <c r="I31" s="13"/>
      <c r="J31" s="13"/>
    </row>
    <row r="32" customFormat="false" ht="15" hidden="false" customHeight="false" outlineLevel="0" collapsed="false">
      <c r="A32" s="12" t="s">
        <v>1496</v>
      </c>
      <c r="B32" s="8" t="s">
        <v>1497</v>
      </c>
      <c r="C32" s="8" t="s">
        <v>1353</v>
      </c>
      <c r="D32" s="13"/>
      <c r="E32" s="13" t="s">
        <v>866</v>
      </c>
      <c r="F32" s="13"/>
      <c r="G32" s="13"/>
      <c r="H32" s="14"/>
      <c r="I32" s="13"/>
      <c r="J32" s="13"/>
    </row>
    <row r="33" customFormat="false" ht="15" hidden="false" customHeight="false" outlineLevel="0" collapsed="false">
      <c r="A33" s="12" t="s">
        <v>1498</v>
      </c>
      <c r="B33" s="8" t="s">
        <v>1499</v>
      </c>
      <c r="C33" s="8" t="s">
        <v>1353</v>
      </c>
      <c r="D33" s="13"/>
      <c r="E33" s="13" t="s">
        <v>866</v>
      </c>
      <c r="F33" s="13"/>
      <c r="G33" s="13"/>
      <c r="H33" s="14"/>
      <c r="I33" s="13"/>
      <c r="J33" s="13"/>
    </row>
    <row r="34" customFormat="false" ht="15" hidden="false" customHeight="false" outlineLevel="0" collapsed="false">
      <c r="A34" s="12" t="s">
        <v>1500</v>
      </c>
      <c r="B34" s="8" t="s">
        <v>1501</v>
      </c>
      <c r="C34" s="8" t="s">
        <v>1353</v>
      </c>
      <c r="D34" s="13"/>
      <c r="E34" s="13" t="s">
        <v>866</v>
      </c>
      <c r="F34" s="13"/>
      <c r="G34" s="13"/>
      <c r="H34" s="14"/>
      <c r="I34" s="13"/>
      <c r="J34" s="13"/>
    </row>
    <row r="35" customFormat="false" ht="15" hidden="false" customHeight="false" outlineLevel="0" collapsed="false">
      <c r="A35" s="12" t="s">
        <v>1502</v>
      </c>
      <c r="B35" s="8" t="s">
        <v>1503</v>
      </c>
      <c r="C35" s="8" t="s">
        <v>1353</v>
      </c>
      <c r="D35" s="13"/>
      <c r="E35" s="13" t="s">
        <v>866</v>
      </c>
      <c r="F35" s="13"/>
      <c r="G35" s="13"/>
      <c r="H35" s="14"/>
      <c r="I35" s="13"/>
      <c r="J35" s="13"/>
    </row>
    <row r="36" customFormat="false" ht="15" hidden="false" customHeight="false" outlineLevel="0" collapsed="false">
      <c r="A36" s="12" t="s">
        <v>1504</v>
      </c>
      <c r="B36" s="8" t="s">
        <v>1505</v>
      </c>
      <c r="C36" s="8" t="s">
        <v>33</v>
      </c>
      <c r="D36" s="13"/>
      <c r="E36" s="13" t="s">
        <v>866</v>
      </c>
      <c r="F36" s="13"/>
      <c r="G36" s="13"/>
      <c r="H36" s="14"/>
      <c r="I36" s="13"/>
      <c r="J36" s="13"/>
    </row>
    <row r="37" customFormat="false" ht="15" hidden="false" customHeight="false" outlineLevel="0" collapsed="false">
      <c r="A37" s="12" t="s">
        <v>1506</v>
      </c>
      <c r="B37" s="8" t="s">
        <v>1507</v>
      </c>
      <c r="C37" s="8" t="s">
        <v>919</v>
      </c>
      <c r="D37" s="13"/>
      <c r="E37" s="13" t="s">
        <v>866</v>
      </c>
      <c r="F37" s="13"/>
      <c r="G37" s="13"/>
      <c r="H37" s="14"/>
      <c r="I37" s="13"/>
      <c r="J37" s="13"/>
    </row>
    <row r="38" customFormat="false" ht="15" hidden="false" customHeight="false" outlineLevel="0" collapsed="false">
      <c r="A38" s="12" t="s">
        <v>1508</v>
      </c>
      <c r="B38" s="8" t="s">
        <v>1509</v>
      </c>
      <c r="C38" s="8" t="s">
        <v>919</v>
      </c>
      <c r="D38" s="13"/>
      <c r="E38" s="13" t="s">
        <v>866</v>
      </c>
      <c r="F38" s="13"/>
      <c r="G38" s="13"/>
      <c r="H38" s="14"/>
      <c r="I38" s="13"/>
      <c r="J38" s="13"/>
    </row>
    <row r="39" customFormat="false" ht="15" hidden="false" customHeight="false" outlineLevel="0" collapsed="false">
      <c r="A39" s="12" t="s">
        <v>1510</v>
      </c>
      <c r="B39" s="8" t="s">
        <v>1511</v>
      </c>
      <c r="C39" s="8" t="s">
        <v>880</v>
      </c>
      <c r="D39" s="13"/>
      <c r="E39" s="13" t="s">
        <v>866</v>
      </c>
      <c r="F39" s="13"/>
      <c r="G39" s="13"/>
      <c r="H39" s="14"/>
      <c r="I39" s="13"/>
      <c r="J39" s="13"/>
    </row>
    <row r="40" customFormat="false" ht="15" hidden="false" customHeight="false" outlineLevel="0" collapsed="false">
      <c r="A40" s="12" t="s">
        <v>1512</v>
      </c>
      <c r="B40" s="8" t="s">
        <v>1513</v>
      </c>
      <c r="C40" s="8" t="s">
        <v>128</v>
      </c>
      <c r="D40" s="13"/>
      <c r="E40" s="13" t="s">
        <v>866</v>
      </c>
      <c r="F40" s="13"/>
      <c r="G40" s="13"/>
      <c r="H40" s="14"/>
      <c r="I40" s="13"/>
      <c r="J40" s="13"/>
    </row>
    <row r="41" customFormat="false" ht="15" hidden="false" customHeight="false" outlineLevel="0" collapsed="false">
      <c r="A41" s="12" t="s">
        <v>1514</v>
      </c>
      <c r="B41" s="8" t="s">
        <v>1515</v>
      </c>
      <c r="C41" s="8" t="s">
        <v>128</v>
      </c>
      <c r="D41" s="13"/>
      <c r="E41" s="13" t="s">
        <v>866</v>
      </c>
      <c r="F41" s="13"/>
      <c r="G41" s="13"/>
      <c r="H41" s="14"/>
      <c r="I41" s="13"/>
      <c r="J41" s="13"/>
    </row>
    <row r="42" customFormat="false" ht="15" hidden="false" customHeight="false" outlineLevel="0" collapsed="false">
      <c r="A42" s="13"/>
      <c r="B42" s="13"/>
      <c r="C42" s="13"/>
      <c r="D42" s="13"/>
      <c r="E42" s="13"/>
      <c r="F42" s="13"/>
      <c r="G42" s="13"/>
      <c r="H42" s="57"/>
      <c r="I42" s="13"/>
      <c r="J42" s="13"/>
    </row>
    <row r="43" customFormat="false" ht="15" hidden="false" customHeight="false" outlineLevel="0" collapsed="false">
      <c r="A43" s="13"/>
      <c r="B43" s="13"/>
      <c r="C43" s="13"/>
      <c r="D43" s="13"/>
      <c r="E43" s="13"/>
      <c r="F43" s="13"/>
      <c r="G43" s="13"/>
      <c r="H43" s="57"/>
      <c r="I43" s="13"/>
      <c r="J43" s="13"/>
    </row>
    <row r="44" customFormat="false" ht="15" hidden="false" customHeight="false" outlineLevel="0" collapsed="false">
      <c r="A44" s="13"/>
      <c r="B44" s="13"/>
      <c r="C44" s="13"/>
      <c r="D44" s="13"/>
      <c r="E44" s="13"/>
      <c r="F44" s="13"/>
      <c r="G44" s="13"/>
      <c r="H44" s="57"/>
      <c r="I44" s="13"/>
      <c r="J44" s="13"/>
    </row>
    <row r="45" customFormat="false" ht="15" hidden="false" customHeight="false" outlineLevel="0" collapsed="false">
      <c r="A45" s="13"/>
      <c r="B45" s="13"/>
      <c r="C45" s="13"/>
      <c r="D45" s="13"/>
      <c r="E45" s="13"/>
      <c r="F45" s="13"/>
      <c r="G45" s="13"/>
      <c r="H45" s="57"/>
      <c r="I45" s="13"/>
      <c r="J45" s="13"/>
    </row>
    <row r="46" customFormat="false" ht="15" hidden="false" customHeight="false" outlineLevel="0" collapsed="false">
      <c r="A46" s="13"/>
      <c r="B46" s="13"/>
      <c r="C46" s="13"/>
      <c r="D46" s="13"/>
      <c r="E46" s="13"/>
      <c r="F46" s="13"/>
      <c r="G46" s="13"/>
      <c r="H46" s="57"/>
      <c r="I46" s="13"/>
      <c r="J46" s="13"/>
    </row>
    <row r="47" customFormat="false" ht="15" hidden="false" customHeight="false" outlineLevel="0" collapsed="false">
      <c r="A47" s="13"/>
      <c r="B47" s="13"/>
      <c r="C47" s="13"/>
      <c r="D47" s="13"/>
      <c r="E47" s="13"/>
      <c r="F47" s="13"/>
      <c r="G47" s="13"/>
      <c r="H47" s="57"/>
      <c r="I47" s="13"/>
      <c r="J47" s="13"/>
    </row>
    <row r="48" customFormat="false" ht="15" hidden="false" customHeight="false" outlineLevel="0" collapsed="false">
      <c r="A48" s="13"/>
      <c r="B48" s="13"/>
      <c r="C48" s="13"/>
      <c r="D48" s="13"/>
      <c r="E48" s="13"/>
      <c r="F48" s="13"/>
      <c r="G48" s="13"/>
      <c r="H48" s="57"/>
      <c r="I48" s="13"/>
      <c r="J48" s="13"/>
    </row>
    <row r="49" customFormat="false" ht="15" hidden="false" customHeight="false" outlineLevel="0" collapsed="false">
      <c r="A49" s="13"/>
      <c r="B49" s="13"/>
      <c r="C49" s="13"/>
      <c r="D49" s="13"/>
      <c r="E49" s="13"/>
      <c r="F49" s="13"/>
      <c r="G49" s="13"/>
      <c r="H49" s="57"/>
      <c r="I49" s="13"/>
      <c r="J49" s="13"/>
    </row>
    <row r="50" customFormat="false" ht="15" hidden="false" customHeight="false" outlineLevel="0" collapsed="false">
      <c r="A50" s="13"/>
      <c r="B50" s="13"/>
      <c r="C50" s="13"/>
      <c r="D50" s="13"/>
      <c r="E50" s="13"/>
      <c r="F50" s="13"/>
      <c r="G50" s="13"/>
      <c r="H50" s="57"/>
      <c r="I50" s="13"/>
      <c r="J50" s="13"/>
    </row>
    <row r="51" customFormat="false" ht="15" hidden="false" customHeight="false" outlineLevel="0" collapsed="false">
      <c r="A51" s="13"/>
      <c r="B51" s="13"/>
      <c r="C51" s="13"/>
      <c r="D51" s="13"/>
      <c r="E51" s="13"/>
      <c r="F51" s="13"/>
      <c r="G51" s="13"/>
      <c r="H51" s="57"/>
      <c r="I51" s="13"/>
      <c r="J51" s="13"/>
    </row>
    <row r="52" customFormat="false" ht="15" hidden="false" customHeight="false" outlineLevel="0" collapsed="false">
      <c r="A52" s="13"/>
      <c r="B52" s="13"/>
      <c r="C52" s="13"/>
      <c r="D52" s="13"/>
      <c r="E52" s="13"/>
      <c r="F52" s="13"/>
      <c r="G52" s="13"/>
      <c r="H52" s="57"/>
      <c r="I52" s="13"/>
      <c r="J52" s="13"/>
    </row>
    <row r="53" customFormat="false" ht="15" hidden="false" customHeight="false" outlineLevel="0" collapsed="false">
      <c r="A53" s="13"/>
      <c r="B53" s="13"/>
      <c r="C53" s="13"/>
      <c r="D53" s="13"/>
      <c r="E53" s="13"/>
      <c r="F53" s="13"/>
      <c r="G53" s="13"/>
      <c r="H53" s="57"/>
      <c r="I53" s="13"/>
      <c r="J53" s="13"/>
    </row>
    <row r="54" customFormat="false" ht="15" hidden="false" customHeight="false" outlineLevel="0" collapsed="false">
      <c r="A54" s="13"/>
      <c r="B54" s="13"/>
      <c r="C54" s="13"/>
      <c r="D54" s="13"/>
      <c r="E54" s="13"/>
      <c r="F54" s="13"/>
      <c r="G54" s="13"/>
      <c r="H54" s="57"/>
      <c r="I54" s="13"/>
      <c r="J54" s="13"/>
    </row>
    <row r="55" customFormat="false" ht="15" hidden="false" customHeight="false" outlineLevel="0" collapsed="false">
      <c r="A55" s="13"/>
      <c r="B55" s="13"/>
      <c r="C55" s="13"/>
      <c r="D55" s="13"/>
      <c r="E55" s="13"/>
      <c r="F55" s="13"/>
      <c r="G55" s="13"/>
      <c r="H55" s="57"/>
      <c r="I55" s="13"/>
      <c r="J55" s="13"/>
    </row>
    <row r="56" customFormat="false" ht="15" hidden="false" customHeight="false" outlineLevel="0" collapsed="false">
      <c r="A56" s="13"/>
      <c r="B56" s="13"/>
      <c r="C56" s="13"/>
      <c r="D56" s="13"/>
      <c r="E56" s="13"/>
      <c r="F56" s="13"/>
      <c r="G56" s="13"/>
      <c r="H56" s="57"/>
      <c r="I56" s="13"/>
      <c r="J56" s="13"/>
    </row>
  </sheetData>
  <dataValidations count="2">
    <dataValidation allowBlank="true" errorStyle="stop" operator="between" showDropDown="false" showErrorMessage="false" showInputMessage="false" sqref="E6:E56" type="list">
      <formula1>"Not started,Draft,Submitted,Reviewed,Approved,Superseded"</formula1>
      <formula2>0</formula2>
    </dataValidation>
    <dataValidation type="date" operator="greaterThanOrEqual" allowBlank="true" showDropDown="false" showInputMessage="true" showErrorMessage="true" errorTitle="Enter a date" error="Enter a real date (yyyy-mm-dd), not text. Formulas that use this date fail silently on text." sqref="H6:H56">
      <formula1>1</formula1>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N3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10" topLeftCell="C11" activePane="bottomRight" state="frozen"/>
      <selection pane="topLeft" activeCell="A1" activeCellId="0" sqref="A1"/>
      <selection pane="topRight" activeCell="C1" activeCellId="0" sqref="C1"/>
      <selection pane="bottomLeft" activeCell="A11" activeCellId="0" sqref="A11"/>
      <selection pane="bottomRight" activeCell="A1" activeCellId="0" sqref="A1"/>
    </sheetView>
  </sheetViews>
  <sheetFormatPr defaultColWidth="8.6796875" defaultRowHeight="15" zeroHeight="false" outlineLevelRow="0" outlineLevelCol="0"/>
  <cols>
    <col collapsed="false" customWidth="true" hidden="false" outlineLevel="0" max="1" min="1" style="0" width="36"/>
    <col collapsed="false" customWidth="true" hidden="false" outlineLevel="0" max="2" min="2" style="0" width="11"/>
    <col collapsed="false" customWidth="true" hidden="false" outlineLevel="0" max="3" min="3" style="0" width="34"/>
    <col collapsed="false" customWidth="true" hidden="false" outlineLevel="0" max="4" min="4" style="0" width="14"/>
    <col collapsed="false" customWidth="true" hidden="false" outlineLevel="0" max="6" min="5" style="0" width="10"/>
    <col collapsed="false" customWidth="true" hidden="false" outlineLevel="0" max="7" min="7" style="0" width="12"/>
    <col collapsed="false" customWidth="true" hidden="false" outlineLevel="0" max="8" min="8" style="0" width="18"/>
    <col collapsed="false" customWidth="true" hidden="false" outlineLevel="0" max="10" min="9" style="0" width="16"/>
    <col collapsed="false" customWidth="true" hidden="false" outlineLevel="0" max="14" min="11" style="0" width="12"/>
  </cols>
  <sheetData>
    <row r="1" customFormat="false" ht="17.35" hidden="false" customHeight="false" outlineLevel="0" collapsed="false">
      <c r="A1" s="10" t="s">
        <v>1516</v>
      </c>
    </row>
    <row r="2" customFormat="false" ht="15" hidden="false" customHeight="false" outlineLevel="0" collapsed="false">
      <c r="A2" s="11" t="s">
        <v>1517</v>
      </c>
    </row>
    <row r="3" customFormat="false" ht="15" hidden="false" customHeight="false" outlineLevel="0" collapsed="false">
      <c r="A3" s="9" t="s">
        <v>134</v>
      </c>
    </row>
    <row r="5" customFormat="false" ht="15" hidden="false" customHeight="false" outlineLevel="0" collapsed="false">
      <c r="A5" s="12" t="s">
        <v>1518</v>
      </c>
      <c r="B5" s="30"/>
    </row>
    <row r="6" customFormat="false" ht="22.35" hidden="false" customHeight="false" outlineLevel="0" collapsed="false">
      <c r="A6" s="12" t="s">
        <v>1519</v>
      </c>
      <c r="B6" s="24" t="n">
        <v>0.1</v>
      </c>
    </row>
    <row r="7" customFormat="false" ht="15" hidden="false" customHeight="false" outlineLevel="0" collapsed="false">
      <c r="A7" s="12" t="s">
        <v>1520</v>
      </c>
      <c r="B7" s="13" t="n">
        <v>6</v>
      </c>
    </row>
    <row r="8" customFormat="false" ht="22.35" hidden="false" customHeight="false" outlineLevel="0" collapsed="false">
      <c r="A8" s="12" t="s">
        <v>1521</v>
      </c>
      <c r="B8" s="24" t="n">
        <v>0.15</v>
      </c>
    </row>
    <row r="10" customFormat="false" ht="30" hidden="false" customHeight="true" outlineLevel="0" collapsed="false">
      <c r="A10" s="6" t="s">
        <v>1522</v>
      </c>
      <c r="B10" s="6" t="s">
        <v>943</v>
      </c>
      <c r="C10" s="6" t="s">
        <v>465</v>
      </c>
      <c r="D10" s="6" t="s">
        <v>1523</v>
      </c>
      <c r="E10" s="6" t="s">
        <v>1524</v>
      </c>
      <c r="F10" s="6" t="s">
        <v>1525</v>
      </c>
      <c r="G10" s="6" t="s">
        <v>1526</v>
      </c>
      <c r="H10" s="6" t="s">
        <v>1527</v>
      </c>
      <c r="I10" s="6" t="s">
        <v>1528</v>
      </c>
      <c r="J10" s="6" t="s">
        <v>1318</v>
      </c>
      <c r="K10" s="6" t="s">
        <v>1529</v>
      </c>
      <c r="L10" s="6" t="s">
        <v>861</v>
      </c>
      <c r="M10" s="6" t="s">
        <v>1530</v>
      </c>
      <c r="N10" s="6" t="s">
        <v>1531</v>
      </c>
    </row>
    <row r="11" customFormat="false" ht="15" hidden="false" customHeight="false" outlineLevel="0" collapsed="false">
      <c r="A11" s="12" t="s">
        <v>1532</v>
      </c>
      <c r="B11" s="14"/>
      <c r="C11" s="13"/>
      <c r="D11" s="30"/>
      <c r="E11" s="48" t="str">
        <f aca="false">IF(OR(D11="",$B$5="",$B$5=0),"",D11/$B$5)</f>
        <v/>
      </c>
      <c r="F11" s="13"/>
      <c r="G11" s="24"/>
      <c r="H11" s="13"/>
      <c r="I11" s="17" t="str">
        <f aca="false">IF(C11="","",IF(OR(AND(ISNUMBER(E11),E11&gt;$B$6),AND(ISNUMBER(F11),F11&gt;$B$7),AND(ISNUMBER(G11),ABS(G11)&gt;$B$8),H11="Y",AND(ISNUMBER(M11),M11&gt;$B$6),AND(ISNUMBER(N11),ABS(N11)&gt;$B$8)),"Board","Steering Committee"))</f>
        <v/>
      </c>
      <c r="J11" s="13"/>
      <c r="K11" s="14"/>
      <c r="L11" s="13"/>
      <c r="M11" s="48" t="str">
        <f aca="false">IF(OR(C11="",$B$5="",$B$5=0),"",SUM($D$11:D11)/$B$5)</f>
        <v/>
      </c>
      <c r="N11" s="49" t="str">
        <f aca="false">IF(C11="","",SUM($G$11:G11))</f>
        <v/>
      </c>
    </row>
    <row r="12" customFormat="false" ht="15" hidden="false" customHeight="false" outlineLevel="0" collapsed="false">
      <c r="A12" s="12" t="s">
        <v>1533</v>
      </c>
      <c r="B12" s="14"/>
      <c r="C12" s="13"/>
      <c r="D12" s="30"/>
      <c r="E12" s="48" t="str">
        <f aca="false">IF(OR(D12="",$B$5="",$B$5=0),"",D12/$B$5)</f>
        <v/>
      </c>
      <c r="F12" s="13"/>
      <c r="G12" s="24"/>
      <c r="H12" s="13"/>
      <c r="I12" s="17" t="str">
        <f aca="false">IF(C12="","",IF(OR(AND(ISNUMBER(E12),E12&gt;$B$6),AND(ISNUMBER(F12),F12&gt;$B$7),AND(ISNUMBER(G12),ABS(G12)&gt;$B$8),H12="Y",AND(ISNUMBER(M12),M12&gt;$B$6),AND(ISNUMBER(N12),ABS(N12)&gt;$B$8)),"Board","Steering Committee"))</f>
        <v/>
      </c>
      <c r="J12" s="13"/>
      <c r="K12" s="14"/>
      <c r="L12" s="13"/>
      <c r="M12" s="48" t="str">
        <f aca="false">IF(OR(C12="",$B$5="",$B$5=0),"",SUM($D$11:D12)/$B$5)</f>
        <v/>
      </c>
      <c r="N12" s="49" t="str">
        <f aca="false">IF(C12="","",SUM($G$11:G12))</f>
        <v/>
      </c>
    </row>
    <row r="13" customFormat="false" ht="15" hidden="false" customHeight="false" outlineLevel="0" collapsed="false">
      <c r="A13" s="12" t="s">
        <v>1534</v>
      </c>
      <c r="B13" s="14"/>
      <c r="C13" s="13"/>
      <c r="D13" s="30"/>
      <c r="E13" s="48" t="str">
        <f aca="false">IF(OR(D13="",$B$5="",$B$5=0),"",D13/$B$5)</f>
        <v/>
      </c>
      <c r="F13" s="13"/>
      <c r="G13" s="24"/>
      <c r="H13" s="13"/>
      <c r="I13" s="17" t="str">
        <f aca="false">IF(C13="","",IF(OR(AND(ISNUMBER(E13),E13&gt;$B$6),AND(ISNUMBER(F13),F13&gt;$B$7),AND(ISNUMBER(G13),ABS(G13)&gt;$B$8),H13="Y",AND(ISNUMBER(M13),M13&gt;$B$6),AND(ISNUMBER(N13),ABS(N13)&gt;$B$8)),"Board","Steering Committee"))</f>
        <v/>
      </c>
      <c r="J13" s="13"/>
      <c r="K13" s="14"/>
      <c r="L13" s="13"/>
      <c r="M13" s="48" t="str">
        <f aca="false">IF(OR(C13="",$B$5="",$B$5=0),"",SUM($D$11:D13)/$B$5)</f>
        <v/>
      </c>
      <c r="N13" s="49" t="str">
        <f aca="false">IF(C13="","",SUM($G$11:G13))</f>
        <v/>
      </c>
    </row>
    <row r="14" customFormat="false" ht="15" hidden="false" customHeight="false" outlineLevel="0" collapsed="false">
      <c r="A14" s="12" t="s">
        <v>1535</v>
      </c>
      <c r="B14" s="14"/>
      <c r="C14" s="13"/>
      <c r="D14" s="30"/>
      <c r="E14" s="48" t="str">
        <f aca="false">IF(OR(D14="",$B$5="",$B$5=0),"",D14/$B$5)</f>
        <v/>
      </c>
      <c r="F14" s="13"/>
      <c r="G14" s="24"/>
      <c r="H14" s="13"/>
      <c r="I14" s="17" t="str">
        <f aca="false">IF(C14="","",IF(OR(AND(ISNUMBER(E14),E14&gt;$B$6),AND(ISNUMBER(F14),F14&gt;$B$7),AND(ISNUMBER(G14),ABS(G14)&gt;$B$8),H14="Y",AND(ISNUMBER(M14),M14&gt;$B$6),AND(ISNUMBER(N14),ABS(N14)&gt;$B$8)),"Board","Steering Committee"))</f>
        <v/>
      </c>
      <c r="J14" s="13"/>
      <c r="K14" s="14"/>
      <c r="L14" s="13"/>
      <c r="M14" s="48" t="str">
        <f aca="false">IF(OR(C14="",$B$5="",$B$5=0),"",SUM($D$11:D14)/$B$5)</f>
        <v/>
      </c>
      <c r="N14" s="49" t="str">
        <f aca="false">IF(C14="","",SUM($G$11:G14))</f>
        <v/>
      </c>
    </row>
    <row r="15" customFormat="false" ht="15" hidden="false" customHeight="false" outlineLevel="0" collapsed="false">
      <c r="A15" s="12" t="s">
        <v>1536</v>
      </c>
      <c r="B15" s="14"/>
      <c r="C15" s="13"/>
      <c r="D15" s="30"/>
      <c r="E15" s="48" t="str">
        <f aca="false">IF(OR(D15="",$B$5="",$B$5=0),"",D15/$B$5)</f>
        <v/>
      </c>
      <c r="F15" s="13"/>
      <c r="G15" s="24"/>
      <c r="H15" s="13"/>
      <c r="I15" s="17" t="str">
        <f aca="false">IF(C15="","",IF(OR(AND(ISNUMBER(E15),E15&gt;$B$6),AND(ISNUMBER(F15),F15&gt;$B$7),AND(ISNUMBER(G15),ABS(G15)&gt;$B$8),H15="Y",AND(ISNUMBER(M15),M15&gt;$B$6),AND(ISNUMBER(N15),ABS(N15)&gt;$B$8)),"Board","Steering Committee"))</f>
        <v/>
      </c>
      <c r="J15" s="13"/>
      <c r="K15" s="14"/>
      <c r="L15" s="13"/>
      <c r="M15" s="48" t="str">
        <f aca="false">IF(OR(C15="",$B$5="",$B$5=0),"",SUM($D$11:D15)/$B$5)</f>
        <v/>
      </c>
      <c r="N15" s="49" t="str">
        <f aca="false">IF(C15="","",SUM($G$11:G15))</f>
        <v/>
      </c>
    </row>
    <row r="16" customFormat="false" ht="15" hidden="false" customHeight="false" outlineLevel="0" collapsed="false">
      <c r="A16" s="12" t="s">
        <v>1537</v>
      </c>
      <c r="B16" s="14"/>
      <c r="C16" s="13"/>
      <c r="D16" s="30"/>
      <c r="E16" s="48" t="str">
        <f aca="false">IF(OR(D16="",$B$5="",$B$5=0),"",D16/$B$5)</f>
        <v/>
      </c>
      <c r="F16" s="13"/>
      <c r="G16" s="24"/>
      <c r="H16" s="13"/>
      <c r="I16" s="17" t="str">
        <f aca="false">IF(C16="","",IF(OR(AND(ISNUMBER(E16),E16&gt;$B$6),AND(ISNUMBER(F16),F16&gt;$B$7),AND(ISNUMBER(G16),ABS(G16)&gt;$B$8),H16="Y",AND(ISNUMBER(M16),M16&gt;$B$6),AND(ISNUMBER(N16),ABS(N16)&gt;$B$8)),"Board","Steering Committee"))</f>
        <v/>
      </c>
      <c r="J16" s="13"/>
      <c r="K16" s="14"/>
      <c r="L16" s="13"/>
      <c r="M16" s="48" t="str">
        <f aca="false">IF(OR(C16="",$B$5="",$B$5=0),"",SUM($D$11:D16)/$B$5)</f>
        <v/>
      </c>
      <c r="N16" s="49" t="str">
        <f aca="false">IF(C16="","",SUM($G$11:G16))</f>
        <v/>
      </c>
    </row>
    <row r="17" customFormat="false" ht="15" hidden="false" customHeight="false" outlineLevel="0" collapsed="false">
      <c r="A17" s="12" t="s">
        <v>1538</v>
      </c>
      <c r="B17" s="14"/>
      <c r="C17" s="13"/>
      <c r="D17" s="30"/>
      <c r="E17" s="48" t="str">
        <f aca="false">IF(OR(D17="",$B$5="",$B$5=0),"",D17/$B$5)</f>
        <v/>
      </c>
      <c r="F17" s="13"/>
      <c r="G17" s="24"/>
      <c r="H17" s="13"/>
      <c r="I17" s="17" t="str">
        <f aca="false">IF(C17="","",IF(OR(AND(ISNUMBER(E17),E17&gt;$B$6),AND(ISNUMBER(F17),F17&gt;$B$7),AND(ISNUMBER(G17),ABS(G17)&gt;$B$8),H17="Y",AND(ISNUMBER(M17),M17&gt;$B$6),AND(ISNUMBER(N17),ABS(N17)&gt;$B$8)),"Board","Steering Committee"))</f>
        <v/>
      </c>
      <c r="J17" s="13"/>
      <c r="K17" s="14"/>
      <c r="L17" s="13"/>
      <c r="M17" s="48" t="str">
        <f aca="false">IF(OR(C17="",$B$5="",$B$5=0),"",SUM($D$11:D17)/$B$5)</f>
        <v/>
      </c>
      <c r="N17" s="49" t="str">
        <f aca="false">IF(C17="","",SUM($G$11:G17))</f>
        <v/>
      </c>
    </row>
    <row r="18" customFormat="false" ht="15" hidden="false" customHeight="false" outlineLevel="0" collapsed="false">
      <c r="A18" s="12" t="s">
        <v>1539</v>
      </c>
      <c r="B18" s="14"/>
      <c r="C18" s="13"/>
      <c r="D18" s="30"/>
      <c r="E18" s="48" t="str">
        <f aca="false">IF(OR(D18="",$B$5="",$B$5=0),"",D18/$B$5)</f>
        <v/>
      </c>
      <c r="F18" s="13"/>
      <c r="G18" s="24"/>
      <c r="H18" s="13"/>
      <c r="I18" s="17" t="str">
        <f aca="false">IF(C18="","",IF(OR(AND(ISNUMBER(E18),E18&gt;$B$6),AND(ISNUMBER(F18),F18&gt;$B$7),AND(ISNUMBER(G18),ABS(G18)&gt;$B$8),H18="Y",AND(ISNUMBER(M18),M18&gt;$B$6),AND(ISNUMBER(N18),ABS(N18)&gt;$B$8)),"Board","Steering Committee"))</f>
        <v/>
      </c>
      <c r="J18" s="13"/>
      <c r="K18" s="14"/>
      <c r="L18" s="13"/>
      <c r="M18" s="48" t="str">
        <f aca="false">IF(OR(C18="",$B$5="",$B$5=0),"",SUM($D$11:D18)/$B$5)</f>
        <v/>
      </c>
      <c r="N18" s="49" t="str">
        <f aca="false">IF(C18="","",SUM($G$11:G18))</f>
        <v/>
      </c>
    </row>
    <row r="19" customFormat="false" ht="15" hidden="false" customHeight="false" outlineLevel="0" collapsed="false">
      <c r="A19" s="12" t="s">
        <v>1540</v>
      </c>
      <c r="B19" s="14"/>
      <c r="C19" s="13"/>
      <c r="D19" s="30"/>
      <c r="E19" s="48" t="str">
        <f aca="false">IF(OR(D19="",$B$5="",$B$5=0),"",D19/$B$5)</f>
        <v/>
      </c>
      <c r="F19" s="13"/>
      <c r="G19" s="24"/>
      <c r="H19" s="13"/>
      <c r="I19" s="17" t="str">
        <f aca="false">IF(C19="","",IF(OR(AND(ISNUMBER(E19),E19&gt;$B$6),AND(ISNUMBER(F19),F19&gt;$B$7),AND(ISNUMBER(G19),ABS(G19)&gt;$B$8),H19="Y",AND(ISNUMBER(M19),M19&gt;$B$6),AND(ISNUMBER(N19),ABS(N19)&gt;$B$8)),"Board","Steering Committee"))</f>
        <v/>
      </c>
      <c r="J19" s="13"/>
      <c r="K19" s="14"/>
      <c r="L19" s="13"/>
      <c r="M19" s="48" t="str">
        <f aca="false">IF(OR(C19="",$B$5="",$B$5=0),"",SUM($D$11:D19)/$B$5)</f>
        <v/>
      </c>
      <c r="N19" s="49" t="str">
        <f aca="false">IF(C19="","",SUM($G$11:G19))</f>
        <v/>
      </c>
    </row>
    <row r="20" customFormat="false" ht="15" hidden="false" customHeight="false" outlineLevel="0" collapsed="false">
      <c r="A20" s="12" t="s">
        <v>1541</v>
      </c>
      <c r="B20" s="14"/>
      <c r="C20" s="13"/>
      <c r="D20" s="30"/>
      <c r="E20" s="48" t="str">
        <f aca="false">IF(OR(D20="",$B$5="",$B$5=0),"",D20/$B$5)</f>
        <v/>
      </c>
      <c r="F20" s="13"/>
      <c r="G20" s="24"/>
      <c r="H20" s="13"/>
      <c r="I20" s="17" t="str">
        <f aca="false">IF(C20="","",IF(OR(AND(ISNUMBER(E20),E20&gt;$B$6),AND(ISNUMBER(F20),F20&gt;$B$7),AND(ISNUMBER(G20),ABS(G20)&gt;$B$8),H20="Y",AND(ISNUMBER(M20),M20&gt;$B$6),AND(ISNUMBER(N20),ABS(N20)&gt;$B$8)),"Board","Steering Committee"))</f>
        <v/>
      </c>
      <c r="J20" s="13"/>
      <c r="K20" s="14"/>
      <c r="L20" s="13"/>
      <c r="M20" s="48" t="str">
        <f aca="false">IF(OR(C20="",$B$5="",$B$5=0),"",SUM($D$11:D20)/$B$5)</f>
        <v/>
      </c>
      <c r="N20" s="49" t="str">
        <f aca="false">IF(C20="","",SUM($G$11:G20))</f>
        <v/>
      </c>
    </row>
    <row r="21" customFormat="false" ht="15" hidden="false" customHeight="false" outlineLevel="0" collapsed="false">
      <c r="A21" s="12" t="s">
        <v>1542</v>
      </c>
      <c r="B21" s="14"/>
      <c r="C21" s="13"/>
      <c r="D21" s="30"/>
      <c r="E21" s="48" t="str">
        <f aca="false">IF(OR(D21="",$B$5="",$B$5=0),"",D21/$B$5)</f>
        <v/>
      </c>
      <c r="F21" s="13"/>
      <c r="G21" s="24"/>
      <c r="H21" s="13"/>
      <c r="I21" s="17" t="str">
        <f aca="false">IF(C21="","",IF(OR(AND(ISNUMBER(E21),E21&gt;$B$6),AND(ISNUMBER(F21),F21&gt;$B$7),AND(ISNUMBER(G21),ABS(G21)&gt;$B$8),H21="Y",AND(ISNUMBER(M21),M21&gt;$B$6),AND(ISNUMBER(N21),ABS(N21)&gt;$B$8)),"Board","Steering Committee"))</f>
        <v/>
      </c>
      <c r="J21" s="13"/>
      <c r="K21" s="14"/>
      <c r="L21" s="13"/>
      <c r="M21" s="48" t="str">
        <f aca="false">IF(OR(C21="",$B$5="",$B$5=0),"",SUM($D$11:D21)/$B$5)</f>
        <v/>
      </c>
      <c r="N21" s="49" t="str">
        <f aca="false">IF(C21="","",SUM($G$11:G21))</f>
        <v/>
      </c>
    </row>
    <row r="22" customFormat="false" ht="15" hidden="false" customHeight="false" outlineLevel="0" collapsed="false">
      <c r="A22" s="12" t="s">
        <v>1543</v>
      </c>
      <c r="B22" s="14"/>
      <c r="C22" s="13"/>
      <c r="D22" s="30"/>
      <c r="E22" s="48" t="str">
        <f aca="false">IF(OR(D22="",$B$5="",$B$5=0),"",D22/$B$5)</f>
        <v/>
      </c>
      <c r="F22" s="13"/>
      <c r="G22" s="24"/>
      <c r="H22" s="13"/>
      <c r="I22" s="17" t="str">
        <f aca="false">IF(C22="","",IF(OR(AND(ISNUMBER(E22),E22&gt;$B$6),AND(ISNUMBER(F22),F22&gt;$B$7),AND(ISNUMBER(G22),ABS(G22)&gt;$B$8),H22="Y",AND(ISNUMBER(M22),M22&gt;$B$6),AND(ISNUMBER(N22),ABS(N22)&gt;$B$8)),"Board","Steering Committee"))</f>
        <v/>
      </c>
      <c r="J22" s="13"/>
      <c r="K22" s="14"/>
      <c r="L22" s="13"/>
      <c r="M22" s="48" t="str">
        <f aca="false">IF(OR(C22="",$B$5="",$B$5=0),"",SUM($D$11:D22)/$B$5)</f>
        <v/>
      </c>
      <c r="N22" s="49" t="str">
        <f aca="false">IF(C22="","",SUM($G$11:G22))</f>
        <v/>
      </c>
    </row>
    <row r="23" customFormat="false" ht="15" hidden="false" customHeight="false" outlineLevel="0" collapsed="false">
      <c r="A23" s="12" t="s">
        <v>1544</v>
      </c>
      <c r="B23" s="14"/>
      <c r="C23" s="13"/>
      <c r="D23" s="30"/>
      <c r="E23" s="48" t="str">
        <f aca="false">IF(OR(D23="",$B$5="",$B$5=0),"",D23/$B$5)</f>
        <v/>
      </c>
      <c r="F23" s="13"/>
      <c r="G23" s="24"/>
      <c r="H23" s="13"/>
      <c r="I23" s="17" t="str">
        <f aca="false">IF(C23="","",IF(OR(AND(ISNUMBER(E23),E23&gt;$B$6),AND(ISNUMBER(F23),F23&gt;$B$7),AND(ISNUMBER(G23),ABS(G23)&gt;$B$8),H23="Y",AND(ISNUMBER(M23),M23&gt;$B$6),AND(ISNUMBER(N23),ABS(N23)&gt;$B$8)),"Board","Steering Committee"))</f>
        <v/>
      </c>
      <c r="J23" s="13"/>
      <c r="K23" s="14"/>
      <c r="L23" s="13"/>
      <c r="M23" s="48" t="str">
        <f aca="false">IF(OR(C23="",$B$5="",$B$5=0),"",SUM($D$11:D23)/$B$5)</f>
        <v/>
      </c>
      <c r="N23" s="49" t="str">
        <f aca="false">IF(C23="","",SUM($G$11:G23))</f>
        <v/>
      </c>
    </row>
    <row r="24" customFormat="false" ht="15" hidden="false" customHeight="false" outlineLevel="0" collapsed="false">
      <c r="A24" s="12" t="s">
        <v>1545</v>
      </c>
      <c r="B24" s="14"/>
      <c r="C24" s="13"/>
      <c r="D24" s="30"/>
      <c r="E24" s="48" t="str">
        <f aca="false">IF(OR(D24="",$B$5="",$B$5=0),"",D24/$B$5)</f>
        <v/>
      </c>
      <c r="F24" s="13"/>
      <c r="G24" s="24"/>
      <c r="H24" s="13"/>
      <c r="I24" s="17" t="str">
        <f aca="false">IF(C24="","",IF(OR(AND(ISNUMBER(E24),E24&gt;$B$6),AND(ISNUMBER(F24),F24&gt;$B$7),AND(ISNUMBER(G24),ABS(G24)&gt;$B$8),H24="Y",AND(ISNUMBER(M24),M24&gt;$B$6),AND(ISNUMBER(N24),ABS(N24)&gt;$B$8)),"Board","Steering Committee"))</f>
        <v/>
      </c>
      <c r="J24" s="13"/>
      <c r="K24" s="14"/>
      <c r="L24" s="13"/>
      <c r="M24" s="48" t="str">
        <f aca="false">IF(OR(C24="",$B$5="",$B$5=0),"",SUM($D$11:D24)/$B$5)</f>
        <v/>
      </c>
      <c r="N24" s="49" t="str">
        <f aca="false">IF(C24="","",SUM($G$11:G24))</f>
        <v/>
      </c>
    </row>
    <row r="25" customFormat="false" ht="15" hidden="false" customHeight="false" outlineLevel="0" collapsed="false">
      <c r="A25" s="12" t="s">
        <v>1546</v>
      </c>
      <c r="B25" s="14"/>
      <c r="C25" s="13"/>
      <c r="D25" s="30"/>
      <c r="E25" s="48" t="str">
        <f aca="false">IF(OR(D25="",$B$5="",$B$5=0),"",D25/$B$5)</f>
        <v/>
      </c>
      <c r="F25" s="13"/>
      <c r="G25" s="24"/>
      <c r="H25" s="13"/>
      <c r="I25" s="17" t="str">
        <f aca="false">IF(C25="","",IF(OR(AND(ISNUMBER(E25),E25&gt;$B$6),AND(ISNUMBER(F25),F25&gt;$B$7),AND(ISNUMBER(G25),ABS(G25)&gt;$B$8),H25="Y",AND(ISNUMBER(M25),M25&gt;$B$6),AND(ISNUMBER(N25),ABS(N25)&gt;$B$8)),"Board","Steering Committee"))</f>
        <v/>
      </c>
      <c r="J25" s="13"/>
      <c r="K25" s="14"/>
      <c r="L25" s="13"/>
      <c r="M25" s="48" t="str">
        <f aca="false">IF(OR(C25="",$B$5="",$B$5=0),"",SUM($D$11:D25)/$B$5)</f>
        <v/>
      </c>
      <c r="N25" s="49" t="str">
        <f aca="false">IF(C25="","",SUM($G$11:G25))</f>
        <v/>
      </c>
    </row>
    <row r="26" customFormat="false" ht="15" hidden="false" customHeight="false" outlineLevel="0" collapsed="false">
      <c r="A26" s="12" t="s">
        <v>1547</v>
      </c>
      <c r="B26" s="14"/>
      <c r="C26" s="13"/>
      <c r="D26" s="30"/>
      <c r="E26" s="48" t="str">
        <f aca="false">IF(OR(D26="",$B$5="",$B$5=0),"",D26/$B$5)</f>
        <v/>
      </c>
      <c r="F26" s="13"/>
      <c r="G26" s="24"/>
      <c r="H26" s="13"/>
      <c r="I26" s="17" t="str">
        <f aca="false">IF(C26="","",IF(OR(AND(ISNUMBER(E26),E26&gt;$B$6),AND(ISNUMBER(F26),F26&gt;$B$7),AND(ISNUMBER(G26),ABS(G26)&gt;$B$8),H26="Y",AND(ISNUMBER(M26),M26&gt;$B$6),AND(ISNUMBER(N26),ABS(N26)&gt;$B$8)),"Board","Steering Committee"))</f>
        <v/>
      </c>
      <c r="J26" s="13"/>
      <c r="K26" s="14"/>
      <c r="L26" s="13"/>
      <c r="M26" s="48" t="str">
        <f aca="false">IF(OR(C26="",$B$5="",$B$5=0),"",SUM($D$11:D26)/$B$5)</f>
        <v/>
      </c>
      <c r="N26" s="49" t="str">
        <f aca="false">IF(C26="","",SUM($G$11:G26))</f>
        <v/>
      </c>
    </row>
    <row r="27" customFormat="false" ht="15" hidden="false" customHeight="false" outlineLevel="0" collapsed="false">
      <c r="A27" s="12" t="s">
        <v>1548</v>
      </c>
      <c r="B27" s="14"/>
      <c r="C27" s="13"/>
      <c r="D27" s="30"/>
      <c r="E27" s="48" t="str">
        <f aca="false">IF(OR(D27="",$B$5="",$B$5=0),"",D27/$B$5)</f>
        <v/>
      </c>
      <c r="F27" s="13"/>
      <c r="G27" s="24"/>
      <c r="H27" s="13"/>
      <c r="I27" s="17" t="str">
        <f aca="false">IF(C27="","",IF(OR(AND(ISNUMBER(E27),E27&gt;$B$6),AND(ISNUMBER(F27),F27&gt;$B$7),AND(ISNUMBER(G27),ABS(G27)&gt;$B$8),H27="Y",AND(ISNUMBER(M27),M27&gt;$B$6),AND(ISNUMBER(N27),ABS(N27)&gt;$B$8)),"Board","Steering Committee"))</f>
        <v/>
      </c>
      <c r="J27" s="13"/>
      <c r="K27" s="14"/>
      <c r="L27" s="13"/>
      <c r="M27" s="48" t="str">
        <f aca="false">IF(OR(C27="",$B$5="",$B$5=0),"",SUM($D$11:D27)/$B$5)</f>
        <v/>
      </c>
      <c r="N27" s="49" t="str">
        <f aca="false">IF(C27="","",SUM($G$11:G27))</f>
        <v/>
      </c>
    </row>
    <row r="28" customFormat="false" ht="15" hidden="false" customHeight="false" outlineLevel="0" collapsed="false">
      <c r="A28" s="12" t="s">
        <v>1549</v>
      </c>
      <c r="B28" s="14"/>
      <c r="C28" s="13"/>
      <c r="D28" s="30"/>
      <c r="E28" s="48" t="str">
        <f aca="false">IF(OR(D28="",$B$5="",$B$5=0),"",D28/$B$5)</f>
        <v/>
      </c>
      <c r="F28" s="13"/>
      <c r="G28" s="24"/>
      <c r="H28" s="13"/>
      <c r="I28" s="17" t="str">
        <f aca="false">IF(C28="","",IF(OR(AND(ISNUMBER(E28),E28&gt;$B$6),AND(ISNUMBER(F28),F28&gt;$B$7),AND(ISNUMBER(G28),ABS(G28)&gt;$B$8),H28="Y",AND(ISNUMBER(M28),M28&gt;$B$6),AND(ISNUMBER(N28),ABS(N28)&gt;$B$8)),"Board","Steering Committee"))</f>
        <v/>
      </c>
      <c r="J28" s="13"/>
      <c r="K28" s="14"/>
      <c r="L28" s="13"/>
      <c r="M28" s="48" t="str">
        <f aca="false">IF(OR(C28="",$B$5="",$B$5=0),"",SUM($D$11:D28)/$B$5)</f>
        <v/>
      </c>
      <c r="N28" s="49" t="str">
        <f aca="false">IF(C28="","",SUM($G$11:G28))</f>
        <v/>
      </c>
    </row>
    <row r="29" customFormat="false" ht="15" hidden="false" customHeight="false" outlineLevel="0" collapsed="false">
      <c r="A29" s="12" t="s">
        <v>1550</v>
      </c>
      <c r="B29" s="14"/>
      <c r="C29" s="13"/>
      <c r="D29" s="30"/>
      <c r="E29" s="48" t="str">
        <f aca="false">IF(OR(D29="",$B$5="",$B$5=0),"",D29/$B$5)</f>
        <v/>
      </c>
      <c r="F29" s="13"/>
      <c r="G29" s="24"/>
      <c r="H29" s="13"/>
      <c r="I29" s="17" t="str">
        <f aca="false">IF(C29="","",IF(OR(AND(ISNUMBER(E29),E29&gt;$B$6),AND(ISNUMBER(F29),F29&gt;$B$7),AND(ISNUMBER(G29),ABS(G29)&gt;$B$8),H29="Y",AND(ISNUMBER(M29),M29&gt;$B$6),AND(ISNUMBER(N29),ABS(N29)&gt;$B$8)),"Board","Steering Committee"))</f>
        <v/>
      </c>
      <c r="J29" s="13"/>
      <c r="K29" s="14"/>
      <c r="L29" s="13"/>
      <c r="M29" s="48" t="str">
        <f aca="false">IF(OR(C29="",$B$5="",$B$5=0),"",SUM($D$11:D29)/$B$5)</f>
        <v/>
      </c>
      <c r="N29" s="49" t="str">
        <f aca="false">IF(C29="","",SUM($G$11:G29))</f>
        <v/>
      </c>
    </row>
    <row r="30" customFormat="false" ht="15" hidden="false" customHeight="false" outlineLevel="0" collapsed="false">
      <c r="A30" s="12" t="s">
        <v>1551</v>
      </c>
      <c r="B30" s="14"/>
      <c r="C30" s="13"/>
      <c r="D30" s="30"/>
      <c r="E30" s="48" t="str">
        <f aca="false">IF(OR(D30="",$B$5="",$B$5=0),"",D30/$B$5)</f>
        <v/>
      </c>
      <c r="F30" s="13"/>
      <c r="G30" s="24"/>
      <c r="H30" s="13"/>
      <c r="I30" s="17" t="str">
        <f aca="false">IF(C30="","",IF(OR(AND(ISNUMBER(E30),E30&gt;$B$6),AND(ISNUMBER(F30),F30&gt;$B$7),AND(ISNUMBER(G30),ABS(G30)&gt;$B$8),H30="Y",AND(ISNUMBER(M30),M30&gt;$B$6),AND(ISNUMBER(N30),ABS(N30)&gt;$B$8)),"Board","Steering Committee"))</f>
        <v/>
      </c>
      <c r="J30" s="13"/>
      <c r="K30" s="14"/>
      <c r="L30" s="13"/>
      <c r="M30" s="48" t="str">
        <f aca="false">IF(OR(C30="",$B$5="",$B$5=0),"",SUM($D$11:D30)/$B$5)</f>
        <v/>
      </c>
      <c r="N30" s="49" t="str">
        <f aca="false">IF(C30="","",SUM($G$11:G30))</f>
        <v/>
      </c>
    </row>
    <row r="31" customFormat="false" ht="15" hidden="false" customHeight="false" outlineLevel="0" collapsed="false">
      <c r="A31" s="12" t="s">
        <v>1552</v>
      </c>
      <c r="B31" s="14"/>
      <c r="C31" s="13"/>
      <c r="D31" s="30"/>
      <c r="E31" s="48" t="str">
        <f aca="false">IF(OR(D31="",$B$5="",$B$5=0),"",D31/$B$5)</f>
        <v/>
      </c>
      <c r="F31" s="13"/>
      <c r="G31" s="24"/>
      <c r="H31" s="13"/>
      <c r="I31" s="17" t="str">
        <f aca="false">IF(C31="","",IF(OR(AND(ISNUMBER(E31),E31&gt;$B$6),AND(ISNUMBER(F31),F31&gt;$B$7),AND(ISNUMBER(G31),ABS(G31)&gt;$B$8),H31="Y",AND(ISNUMBER(M31),M31&gt;$B$6),AND(ISNUMBER(N31),ABS(N31)&gt;$B$8)),"Board","Steering Committee"))</f>
        <v/>
      </c>
      <c r="J31" s="13"/>
      <c r="K31" s="14"/>
      <c r="L31" s="13"/>
      <c r="M31" s="48" t="str">
        <f aca="false">IF(OR(C31="",$B$5="",$B$5=0),"",SUM($D$11:D31)/$B$5)</f>
        <v/>
      </c>
      <c r="N31" s="49" t="str">
        <f aca="false">IF(C31="","",SUM($G$11:G31))</f>
        <v/>
      </c>
    </row>
    <row r="32" customFormat="false" ht="15" hidden="false" customHeight="false" outlineLevel="0" collapsed="false">
      <c r="A32" s="12" t="s">
        <v>1553</v>
      </c>
      <c r="B32" s="14"/>
      <c r="C32" s="13"/>
      <c r="D32" s="30"/>
      <c r="E32" s="48" t="str">
        <f aca="false">IF(OR(D32="",$B$5="",$B$5=0),"",D32/$B$5)</f>
        <v/>
      </c>
      <c r="F32" s="13"/>
      <c r="G32" s="24"/>
      <c r="H32" s="13"/>
      <c r="I32" s="17" t="str">
        <f aca="false">IF(C32="","",IF(OR(AND(ISNUMBER(E32),E32&gt;$B$6),AND(ISNUMBER(F32),F32&gt;$B$7),AND(ISNUMBER(G32),ABS(G32)&gt;$B$8),H32="Y",AND(ISNUMBER(M32),M32&gt;$B$6),AND(ISNUMBER(N32),ABS(N32)&gt;$B$8)),"Board","Steering Committee"))</f>
        <v/>
      </c>
      <c r="J32" s="13"/>
      <c r="K32" s="14"/>
      <c r="L32" s="13"/>
      <c r="M32" s="48" t="str">
        <f aca="false">IF(OR(C32="",$B$5="",$B$5=0),"",SUM($D$11:D32)/$B$5)</f>
        <v/>
      </c>
      <c r="N32" s="49" t="str">
        <f aca="false">IF(C32="","",SUM($G$11:G32))</f>
        <v/>
      </c>
    </row>
    <row r="33" customFormat="false" ht="15" hidden="false" customHeight="false" outlineLevel="0" collapsed="false">
      <c r="A33" s="12" t="s">
        <v>1554</v>
      </c>
      <c r="B33" s="14"/>
      <c r="C33" s="13"/>
      <c r="D33" s="30"/>
      <c r="E33" s="48" t="str">
        <f aca="false">IF(OR(D33="",$B$5="",$B$5=0),"",D33/$B$5)</f>
        <v/>
      </c>
      <c r="F33" s="13"/>
      <c r="G33" s="24"/>
      <c r="H33" s="13"/>
      <c r="I33" s="17" t="str">
        <f aca="false">IF(C33="","",IF(OR(AND(ISNUMBER(E33),E33&gt;$B$6),AND(ISNUMBER(F33),F33&gt;$B$7),AND(ISNUMBER(G33),ABS(G33)&gt;$B$8),H33="Y",AND(ISNUMBER(M33),M33&gt;$B$6),AND(ISNUMBER(N33),ABS(N33)&gt;$B$8)),"Board","Steering Committee"))</f>
        <v/>
      </c>
      <c r="J33" s="13"/>
      <c r="K33" s="14"/>
      <c r="L33" s="13"/>
      <c r="M33" s="48" t="str">
        <f aca="false">IF(OR(C33="",$B$5="",$B$5=0),"",SUM($D$11:D33)/$B$5)</f>
        <v/>
      </c>
      <c r="N33" s="49" t="str">
        <f aca="false">IF(C33="","",SUM($G$11:G33))</f>
        <v/>
      </c>
    </row>
    <row r="34" customFormat="false" ht="15" hidden="false" customHeight="false" outlineLevel="0" collapsed="false">
      <c r="A34" s="12" t="s">
        <v>1555</v>
      </c>
      <c r="B34" s="14"/>
      <c r="C34" s="13"/>
      <c r="D34" s="30"/>
      <c r="E34" s="48" t="str">
        <f aca="false">IF(OR(D34="",$B$5="",$B$5=0),"",D34/$B$5)</f>
        <v/>
      </c>
      <c r="F34" s="13"/>
      <c r="G34" s="24"/>
      <c r="H34" s="13"/>
      <c r="I34" s="17" t="str">
        <f aca="false">IF(C34="","",IF(OR(AND(ISNUMBER(E34),E34&gt;$B$6),AND(ISNUMBER(F34),F34&gt;$B$7),AND(ISNUMBER(G34),ABS(G34)&gt;$B$8),H34="Y",AND(ISNUMBER(M34),M34&gt;$B$6),AND(ISNUMBER(N34),ABS(N34)&gt;$B$8)),"Board","Steering Committee"))</f>
        <v/>
      </c>
      <c r="J34" s="13"/>
      <c r="K34" s="14"/>
      <c r="L34" s="13"/>
      <c r="M34" s="48" t="str">
        <f aca="false">IF(OR(C34="",$B$5="",$B$5=0),"",SUM($D$11:D34)/$B$5)</f>
        <v/>
      </c>
      <c r="N34" s="49" t="str">
        <f aca="false">IF(C34="","",SUM($G$11:G34))</f>
        <v/>
      </c>
    </row>
    <row r="35" customFormat="false" ht="15" hidden="false" customHeight="false" outlineLevel="0" collapsed="false">
      <c r="A35" s="12" t="s">
        <v>1556</v>
      </c>
      <c r="B35" s="14"/>
      <c r="C35" s="13"/>
      <c r="D35" s="30"/>
      <c r="E35" s="48" t="str">
        <f aca="false">IF(OR(D35="",$B$5="",$B$5=0),"",D35/$B$5)</f>
        <v/>
      </c>
      <c r="F35" s="13"/>
      <c r="G35" s="24"/>
      <c r="H35" s="13"/>
      <c r="I35" s="17" t="str">
        <f aca="false">IF(C35="","",IF(OR(AND(ISNUMBER(E35),E35&gt;$B$6),AND(ISNUMBER(F35),F35&gt;$B$7),AND(ISNUMBER(G35),ABS(G35)&gt;$B$8),H35="Y",AND(ISNUMBER(M35),M35&gt;$B$6),AND(ISNUMBER(N35),ABS(N35)&gt;$B$8)),"Board","Steering Committee"))</f>
        <v/>
      </c>
      <c r="J35" s="13"/>
      <c r="K35" s="14"/>
      <c r="L35" s="13"/>
      <c r="M35" s="48" t="str">
        <f aca="false">IF(OR(C35="",$B$5="",$B$5=0),"",SUM($D$11:D35)/$B$5)</f>
        <v/>
      </c>
      <c r="N35" s="49" t="str">
        <f aca="false">IF(C35="","",SUM($G$11:G35))</f>
        <v/>
      </c>
    </row>
  </sheetData>
  <dataValidations count="4">
    <dataValidation allowBlank="true" errorStyle="stop" operator="between" showDropDown="false" showErrorMessage="false" showInputMessage="false" sqref="H11:H35" type="list">
      <formula1>"Y,N"</formula1>
      <formula2>0</formula2>
    </dataValidation>
    <dataValidation allowBlank="true" errorStyle="stop" operator="between" showDropDown="false" showErrorMessage="false" showInputMessage="false" sqref="L11:L35" type="list">
      <formula1>"Proposed,Approved,Rejected,Implemented"</formula1>
      <formula2>0</formula2>
    </dataValidation>
    <dataValidation type="date" operator="greaterThanOrEqual" allowBlank="true" showDropDown="false" showInputMessage="true" showErrorMessage="true" errorTitle="Enter a date" error="Enter a real date (yyyy-mm-dd), not text. Formulas that use this date fail silently on text." sqref="B11:B35">
      <formula1>1</formula1>
    </dataValidation>
    <dataValidation type="date" operator="greaterThanOrEqual" allowBlank="true" showDropDown="false" showInputMessage="true" showErrorMessage="true" errorTitle="Enter a date" error="Enter a real date (yyyy-mm-dd), not text. Formulas that use this date fail silently on text." sqref="K11:K35">
      <formula1>1</formula1>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H2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5" topLeftCell="B6" activePane="bottomRight" state="frozen"/>
      <selection pane="topLeft" activeCell="A1" activeCellId="0" sqref="A1"/>
      <selection pane="topRight" activeCell="B1" activeCellId="0" sqref="B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32"/>
    <col collapsed="false" customWidth="true" hidden="false" outlineLevel="0" max="2" min="2" style="0" width="28"/>
    <col collapsed="false" customWidth="true" hidden="false" outlineLevel="0" max="3" min="3" style="0" width="34"/>
    <col collapsed="false" customWidth="true" hidden="false" outlineLevel="0" max="4" min="4" style="0" width="18"/>
    <col collapsed="false" customWidth="true" hidden="false" outlineLevel="0" max="5" min="5" style="0" width="16"/>
    <col collapsed="false" customWidth="true" hidden="false" outlineLevel="0" max="6" min="6" style="0" width="14"/>
    <col collapsed="false" customWidth="true" hidden="false" outlineLevel="0" max="8" min="7" style="0" width="12"/>
  </cols>
  <sheetData>
    <row r="1" customFormat="false" ht="17.35" hidden="false" customHeight="false" outlineLevel="0" collapsed="false">
      <c r="A1" s="10" t="s">
        <v>1557</v>
      </c>
    </row>
    <row r="2" customFormat="false" ht="15" hidden="false" customHeight="false" outlineLevel="0" collapsed="false">
      <c r="A2" s="11" t="s">
        <v>1558</v>
      </c>
    </row>
    <row r="3" customFormat="false" ht="15" hidden="false" customHeight="false" outlineLevel="0" collapsed="false">
      <c r="A3" s="9" t="s">
        <v>134</v>
      </c>
    </row>
    <row r="5" customFormat="false" ht="30" hidden="false" customHeight="true" outlineLevel="0" collapsed="false">
      <c r="A5" s="6" t="s">
        <v>1559</v>
      </c>
      <c r="B5" s="6" t="s">
        <v>1560</v>
      </c>
      <c r="C5" s="6" t="s">
        <v>1561</v>
      </c>
      <c r="D5" s="6" t="s">
        <v>1562</v>
      </c>
      <c r="E5" s="6" t="s">
        <v>1563</v>
      </c>
      <c r="F5" s="6" t="s">
        <v>140</v>
      </c>
      <c r="G5" s="6" t="s">
        <v>1564</v>
      </c>
      <c r="H5" s="6" t="s">
        <v>861</v>
      </c>
    </row>
    <row r="6" customFormat="false" ht="22.35" hidden="false" customHeight="false" outlineLevel="0" collapsed="false">
      <c r="A6" s="12" t="s">
        <v>1565</v>
      </c>
      <c r="B6" s="8" t="s">
        <v>1566</v>
      </c>
      <c r="C6" s="8" t="s">
        <v>1567</v>
      </c>
      <c r="D6" s="13"/>
      <c r="E6" s="13"/>
      <c r="F6" s="13"/>
      <c r="G6" s="14"/>
      <c r="H6" s="13"/>
    </row>
    <row r="7" customFormat="false" ht="22.35" hidden="false" customHeight="false" outlineLevel="0" collapsed="false">
      <c r="A7" s="12" t="s">
        <v>1568</v>
      </c>
      <c r="B7" s="8" t="s">
        <v>1569</v>
      </c>
      <c r="C7" s="8" t="s">
        <v>1570</v>
      </c>
      <c r="D7" s="13"/>
      <c r="E7" s="13"/>
      <c r="F7" s="13"/>
      <c r="G7" s="14"/>
      <c r="H7" s="13"/>
    </row>
    <row r="8" customFormat="false" ht="15" hidden="false" customHeight="false" outlineLevel="0" collapsed="false">
      <c r="A8" s="12" t="s">
        <v>1571</v>
      </c>
      <c r="B8" s="8" t="s">
        <v>1572</v>
      </c>
      <c r="C8" s="8" t="s">
        <v>1573</v>
      </c>
      <c r="D8" s="13"/>
      <c r="E8" s="13"/>
      <c r="F8" s="13"/>
      <c r="G8" s="14"/>
      <c r="H8" s="13"/>
    </row>
    <row r="9" customFormat="false" ht="15" hidden="false" customHeight="false" outlineLevel="0" collapsed="false">
      <c r="A9" s="12" t="s">
        <v>1574</v>
      </c>
      <c r="B9" s="8" t="s">
        <v>1575</v>
      </c>
      <c r="C9" s="8" t="s">
        <v>1576</v>
      </c>
      <c r="D9" s="13"/>
      <c r="E9" s="13"/>
      <c r="F9" s="13"/>
      <c r="G9" s="14"/>
      <c r="H9" s="13"/>
    </row>
    <row r="10" customFormat="false" ht="15" hidden="false" customHeight="false" outlineLevel="0" collapsed="false">
      <c r="A10" s="12" t="s">
        <v>1577</v>
      </c>
      <c r="B10" s="8" t="s">
        <v>1578</v>
      </c>
      <c r="C10" s="8" t="s">
        <v>1579</v>
      </c>
      <c r="D10" s="13"/>
      <c r="E10" s="13"/>
      <c r="F10" s="13"/>
      <c r="G10" s="14"/>
      <c r="H10" s="13"/>
    </row>
    <row r="11" customFormat="false" ht="15" hidden="false" customHeight="false" outlineLevel="0" collapsed="false">
      <c r="A11" s="12" t="s">
        <v>1580</v>
      </c>
      <c r="B11" s="8" t="s">
        <v>1581</v>
      </c>
      <c r="C11" s="8" t="s">
        <v>1582</v>
      </c>
      <c r="D11" s="13"/>
      <c r="E11" s="13"/>
      <c r="F11" s="13"/>
      <c r="G11" s="14"/>
      <c r="H11" s="13"/>
    </row>
    <row r="12" customFormat="false" ht="15" hidden="false" customHeight="false" outlineLevel="0" collapsed="false">
      <c r="A12" s="12" t="s">
        <v>1583</v>
      </c>
      <c r="B12" s="8" t="s">
        <v>1584</v>
      </c>
      <c r="C12" s="8" t="s">
        <v>1585</v>
      </c>
      <c r="D12" s="13"/>
      <c r="E12" s="13"/>
      <c r="F12" s="13"/>
      <c r="G12" s="14"/>
      <c r="H12" s="13"/>
    </row>
    <row r="13" customFormat="false" ht="15" hidden="false" customHeight="false" outlineLevel="0" collapsed="false">
      <c r="A13" s="12" t="s">
        <v>1586</v>
      </c>
      <c r="B13" s="8" t="s">
        <v>1587</v>
      </c>
      <c r="C13" s="8" t="s">
        <v>1588</v>
      </c>
      <c r="D13" s="13"/>
      <c r="E13" s="13"/>
      <c r="F13" s="13"/>
      <c r="G13" s="14"/>
      <c r="H13" s="13"/>
    </row>
    <row r="14" customFormat="false" ht="22.35" hidden="false" customHeight="false" outlineLevel="0" collapsed="false">
      <c r="A14" s="12" t="s">
        <v>1589</v>
      </c>
      <c r="B14" s="8" t="s">
        <v>1590</v>
      </c>
      <c r="C14" s="8" t="s">
        <v>1591</v>
      </c>
      <c r="D14" s="13"/>
      <c r="E14" s="13"/>
      <c r="F14" s="13"/>
      <c r="G14" s="14"/>
      <c r="H14" s="13"/>
    </row>
    <row r="15" customFormat="false" ht="22.35" hidden="false" customHeight="false" outlineLevel="0" collapsed="false">
      <c r="A15" s="12" t="s">
        <v>1592</v>
      </c>
      <c r="B15" s="8" t="s">
        <v>1593</v>
      </c>
      <c r="C15" s="8" t="s">
        <v>1594</v>
      </c>
      <c r="D15" s="13"/>
      <c r="E15" s="13"/>
      <c r="F15" s="13"/>
      <c r="G15" s="14"/>
      <c r="H15" s="13"/>
    </row>
    <row r="16" customFormat="false" ht="22.35" hidden="false" customHeight="false" outlineLevel="0" collapsed="false">
      <c r="A16" s="12" t="s">
        <v>1595</v>
      </c>
      <c r="B16" s="8" t="s">
        <v>1596</v>
      </c>
      <c r="C16" s="8" t="s">
        <v>1597</v>
      </c>
      <c r="D16" s="13"/>
      <c r="E16" s="13"/>
      <c r="F16" s="13"/>
      <c r="G16" s="14"/>
      <c r="H16" s="13"/>
    </row>
    <row r="17" customFormat="false" ht="15" hidden="false" customHeight="false" outlineLevel="0" collapsed="false">
      <c r="A17" s="12" t="s">
        <v>1598</v>
      </c>
      <c r="B17" s="8" t="s">
        <v>1599</v>
      </c>
      <c r="C17" s="8" t="s">
        <v>1600</v>
      </c>
      <c r="D17" s="13"/>
      <c r="E17" s="13"/>
      <c r="F17" s="13"/>
      <c r="G17" s="14"/>
      <c r="H17" s="13"/>
    </row>
    <row r="18" customFormat="false" ht="22.35" hidden="false" customHeight="false" outlineLevel="0" collapsed="false">
      <c r="A18" s="12" t="s">
        <v>1601</v>
      </c>
      <c r="B18" s="8" t="s">
        <v>1602</v>
      </c>
      <c r="C18" s="8" t="s">
        <v>1603</v>
      </c>
      <c r="D18" s="13"/>
      <c r="E18" s="13"/>
      <c r="F18" s="13"/>
      <c r="G18" s="14"/>
      <c r="H18" s="13"/>
    </row>
    <row r="19" customFormat="false" ht="15" hidden="false" customHeight="false" outlineLevel="0" collapsed="false">
      <c r="A19" s="12" t="s">
        <v>1604</v>
      </c>
      <c r="B19" s="8" t="s">
        <v>1605</v>
      </c>
      <c r="C19" s="8" t="s">
        <v>1606</v>
      </c>
      <c r="D19" s="13"/>
      <c r="E19" s="13"/>
      <c r="F19" s="13"/>
      <c r="G19" s="14"/>
      <c r="H19" s="13"/>
    </row>
    <row r="20" customFormat="false" ht="15" hidden="false" customHeight="false" outlineLevel="0" collapsed="false">
      <c r="A20" s="12" t="s">
        <v>1607</v>
      </c>
      <c r="B20" s="8" t="s">
        <v>1608</v>
      </c>
      <c r="C20" s="8" t="s">
        <v>1609</v>
      </c>
      <c r="D20" s="13"/>
      <c r="E20" s="13"/>
      <c r="F20" s="13"/>
      <c r="G20" s="14"/>
      <c r="H20" s="13"/>
    </row>
    <row r="21" customFormat="false" ht="15" hidden="false" customHeight="false" outlineLevel="0" collapsed="false">
      <c r="A21" s="12" t="s">
        <v>1610</v>
      </c>
      <c r="B21" s="8" t="s">
        <v>1611</v>
      </c>
      <c r="C21" s="8" t="s">
        <v>1612</v>
      </c>
      <c r="D21" s="13"/>
      <c r="E21" s="13"/>
      <c r="F21" s="13"/>
      <c r="G21" s="14"/>
      <c r="H21" s="13"/>
    </row>
  </sheetData>
  <dataValidations count="1">
    <dataValidation type="date" operator="greaterThanOrEqual" allowBlank="true" showDropDown="false" showInputMessage="true" showErrorMessage="true" errorTitle="Enter a date" error="Enter a real date (yyyy-mm-dd), not text. Formulas that use this date fail silently on text." sqref="G6:G21">
      <formula1>1</formula1>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T4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8" topLeftCell="C9" activePane="bottomRight" state="frozen"/>
      <selection pane="topLeft" activeCell="A1" activeCellId="0" sqref="A1"/>
      <selection pane="topRight" activeCell="C1" activeCellId="0" sqref="C1"/>
      <selection pane="bottomLeft" activeCell="A9" activeCellId="0" sqref="A9"/>
      <selection pane="bottomRigh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62"/>
    <col collapsed="false" customWidth="true" hidden="false" outlineLevel="0" max="3" min="3" style="0" width="11"/>
    <col collapsed="false" customWidth="true" hidden="false" outlineLevel="0" max="4" min="4" style="0" width="12"/>
    <col collapsed="false" customWidth="true" hidden="false" outlineLevel="0" max="6" min="5" style="0" width="13"/>
    <col collapsed="false" customWidth="true" hidden="false" outlineLevel="0" max="7" min="7" style="0" width="12"/>
    <col collapsed="false" customWidth="true" hidden="false" outlineLevel="0" max="8" min="8" style="0" width="28"/>
    <col collapsed="false" customWidth="true" hidden="false" outlineLevel="0" max="9" min="9" style="0" width="14"/>
    <col collapsed="false" customWidth="true" hidden="false" outlineLevel="0" max="10" min="10" style="0" width="12"/>
  </cols>
  <sheetData>
    <row r="1" customFormat="false" ht="17.35" hidden="false" customHeight="false" outlineLevel="0" collapsed="false">
      <c r="A1" s="10" t="s">
        <v>1613</v>
      </c>
      <c r="T1" s="50" t="s">
        <v>1614</v>
      </c>
    </row>
    <row r="2" customFormat="false" ht="15" hidden="false" customHeight="false" outlineLevel="0" collapsed="false">
      <c r="A2" s="11" t="s">
        <v>1615</v>
      </c>
      <c r="T2" s="50" t="s">
        <v>1616</v>
      </c>
    </row>
    <row r="3" customFormat="false" ht="15" hidden="false" customHeight="false" outlineLevel="0" collapsed="false">
      <c r="A3" s="9" t="s">
        <v>134</v>
      </c>
      <c r="T3" s="50" t="s">
        <v>1617</v>
      </c>
    </row>
    <row r="4" customFormat="false" ht="15" hidden="false" customHeight="false" outlineLevel="0" collapsed="false">
      <c r="T4" s="50" t="s">
        <v>1618</v>
      </c>
    </row>
    <row r="5" customFormat="false" ht="199.95" hidden="false" customHeight="false" outlineLevel="0" collapsed="false">
      <c r="A5" s="12" t="s">
        <v>1619</v>
      </c>
      <c r="D5" s="13"/>
      <c r="T5" s="50" t="s">
        <v>1620</v>
      </c>
    </row>
    <row r="6" customFormat="false" ht="85.05" hidden="false" customHeight="false" outlineLevel="0" collapsed="false">
      <c r="A6" s="12" t="s">
        <v>1621</v>
      </c>
      <c r="D6" s="13"/>
    </row>
    <row r="8" customFormat="false" ht="30" hidden="false" customHeight="true" outlineLevel="0" collapsed="false">
      <c r="A8" s="6" t="s">
        <v>1313</v>
      </c>
      <c r="B8" s="6" t="s">
        <v>1622</v>
      </c>
      <c r="C8" s="6" t="s">
        <v>1623</v>
      </c>
      <c r="D8" s="6" t="s">
        <v>1624</v>
      </c>
      <c r="E8" s="6" t="s">
        <v>1625</v>
      </c>
      <c r="F8" s="6" t="s">
        <v>1626</v>
      </c>
      <c r="G8" s="6" t="s">
        <v>217</v>
      </c>
      <c r="H8" s="6" t="s">
        <v>1627</v>
      </c>
      <c r="I8" s="6" t="s">
        <v>140</v>
      </c>
      <c r="J8" s="6" t="s">
        <v>1347</v>
      </c>
    </row>
    <row r="9" customFormat="false" ht="15" hidden="false" customHeight="false" outlineLevel="0" collapsed="false">
      <c r="A9" s="36" t="n">
        <v>1</v>
      </c>
      <c r="B9" s="8" t="s">
        <v>1628</v>
      </c>
      <c r="C9" s="8" t="s">
        <v>1629</v>
      </c>
      <c r="D9" s="8" t="s">
        <v>1630</v>
      </c>
      <c r="E9" s="13"/>
      <c r="F9" s="13" t="s">
        <v>1618</v>
      </c>
      <c r="G9" s="8" t="str">
        <f aca="false">IF(OR(E9="",F9=""),"",IF(OR(E9="Not applicable",F9="Not applicable"),"N/A",IF(MATCH(E9,$T$1:$T$4,0)&lt;MATCH(F9,$T$1:$T$4,0),"Below target","At target")))</f>
        <v/>
      </c>
      <c r="H9" s="13"/>
      <c r="I9" s="13"/>
      <c r="J9" s="14"/>
    </row>
    <row r="10" customFormat="false" ht="15" hidden="false" customHeight="false" outlineLevel="0" collapsed="false">
      <c r="A10" s="36" t="n">
        <v>2</v>
      </c>
      <c r="B10" s="8" t="s">
        <v>1631</v>
      </c>
      <c r="C10" s="8" t="s">
        <v>1632</v>
      </c>
      <c r="D10" s="8" t="s">
        <v>1630</v>
      </c>
      <c r="E10" s="13"/>
      <c r="F10" s="13" t="s">
        <v>1618</v>
      </c>
      <c r="G10" s="8" t="str">
        <f aca="false">IF(OR(E10="",F10=""),"",IF(OR(E10="Not applicable",F10="Not applicable"),"N/A",IF(MATCH(E10,$T$1:$T$4,0)&lt;MATCH(F10,$T$1:$T$4,0),"Below target","At target")))</f>
        <v/>
      </c>
      <c r="H10" s="13"/>
      <c r="I10" s="13"/>
      <c r="J10" s="14"/>
    </row>
    <row r="11" customFormat="false" ht="15" hidden="false" customHeight="false" outlineLevel="0" collapsed="false">
      <c r="A11" s="36" t="n">
        <v>3</v>
      </c>
      <c r="B11" s="8" t="s">
        <v>1633</v>
      </c>
      <c r="C11" s="8" t="s">
        <v>1629</v>
      </c>
      <c r="D11" s="8" t="s">
        <v>1634</v>
      </c>
      <c r="E11" s="13"/>
      <c r="F11" s="13" t="s">
        <v>1618</v>
      </c>
      <c r="G11" s="8" t="str">
        <f aca="false">IF(OR(E11="",F11=""),"",IF(OR(E11="Not applicable",F11="Not applicable"),"N/A",IF(MATCH(E11,$T$1:$T$4,0)&lt;MATCH(F11,$T$1:$T$4,0),"Below target","At target")))</f>
        <v/>
      </c>
      <c r="H11" s="13"/>
      <c r="I11" s="13"/>
      <c r="J11" s="14"/>
    </row>
    <row r="12" customFormat="false" ht="22.35" hidden="false" customHeight="false" outlineLevel="0" collapsed="false">
      <c r="A12" s="36" t="n">
        <v>4</v>
      </c>
      <c r="B12" s="8" t="s">
        <v>1635</v>
      </c>
      <c r="C12" s="8" t="s">
        <v>1629</v>
      </c>
      <c r="D12" s="8" t="s">
        <v>1634</v>
      </c>
      <c r="E12" s="13"/>
      <c r="F12" s="13" t="s">
        <v>1618</v>
      </c>
      <c r="G12" s="8" t="str">
        <f aca="false">IF(OR(E12="",F12=""),"",IF(OR(E12="Not applicable",F12="Not applicable"),"N/A",IF(MATCH(E12,$T$1:$T$4,0)&lt;MATCH(F12,$T$1:$T$4,0),"Below target","At target")))</f>
        <v/>
      </c>
      <c r="H12" s="13"/>
      <c r="I12" s="13"/>
      <c r="J12" s="14"/>
    </row>
    <row r="13" customFormat="false" ht="22.35" hidden="false" customHeight="false" outlineLevel="0" collapsed="false">
      <c r="A13" s="36" t="n">
        <v>5</v>
      </c>
      <c r="B13" s="8" t="s">
        <v>1636</v>
      </c>
      <c r="C13" s="8" t="s">
        <v>1629</v>
      </c>
      <c r="D13" s="8" t="s">
        <v>1637</v>
      </c>
      <c r="E13" s="13"/>
      <c r="F13" s="13" t="s">
        <v>1618</v>
      </c>
      <c r="G13" s="8" t="str">
        <f aca="false">IF(OR(E13="",F13=""),"",IF(OR(E13="Not applicable",F13="Not applicable"),"N/A",IF(MATCH(E13,$T$1:$T$4,0)&lt;MATCH(F13,$T$1:$T$4,0),"Below target","At target")))</f>
        <v/>
      </c>
      <c r="H13" s="13"/>
      <c r="I13" s="13"/>
      <c r="J13" s="14"/>
    </row>
    <row r="14" customFormat="false" ht="15" hidden="false" customHeight="false" outlineLevel="0" collapsed="false">
      <c r="A14" s="36" t="n">
        <v>6</v>
      </c>
      <c r="B14" s="8" t="s">
        <v>1638</v>
      </c>
      <c r="C14" s="8" t="s">
        <v>1629</v>
      </c>
      <c r="D14" s="8" t="s">
        <v>1637</v>
      </c>
      <c r="E14" s="13"/>
      <c r="F14" s="13" t="s">
        <v>1618</v>
      </c>
      <c r="G14" s="8" t="str">
        <f aca="false">IF(OR(E14="",F14=""),"",IF(OR(E14="Not applicable",F14="Not applicable"),"N/A",IF(MATCH(E14,$T$1:$T$4,0)&lt;MATCH(F14,$T$1:$T$4,0),"Below target","At target")))</f>
        <v/>
      </c>
      <c r="H14" s="13"/>
      <c r="I14" s="13"/>
      <c r="J14" s="14"/>
    </row>
    <row r="15" customFormat="false" ht="15" hidden="false" customHeight="false" outlineLevel="0" collapsed="false">
      <c r="A15" s="36" t="n">
        <v>7</v>
      </c>
      <c r="B15" s="8" t="s">
        <v>1639</v>
      </c>
      <c r="C15" s="8" t="s">
        <v>1629</v>
      </c>
      <c r="D15" s="8" t="s">
        <v>1637</v>
      </c>
      <c r="E15" s="13"/>
      <c r="F15" s="13" t="s">
        <v>1618</v>
      </c>
      <c r="G15" s="8" t="str">
        <f aca="false">IF(OR(E15="",F15=""),"",IF(OR(E15="Not applicable",F15="Not applicable"),"N/A",IF(MATCH(E15,$T$1:$T$4,0)&lt;MATCH(F15,$T$1:$T$4,0),"Below target","At target")))</f>
        <v/>
      </c>
      <c r="H15" s="13"/>
      <c r="I15" s="13"/>
      <c r="J15" s="14"/>
    </row>
    <row r="16" customFormat="false" ht="22.35" hidden="false" customHeight="false" outlineLevel="0" collapsed="false">
      <c r="A16" s="36" t="n">
        <v>8</v>
      </c>
      <c r="B16" s="8" t="s">
        <v>1640</v>
      </c>
      <c r="C16" s="8" t="s">
        <v>1629</v>
      </c>
      <c r="D16" s="8" t="s">
        <v>1637</v>
      </c>
      <c r="E16" s="13"/>
      <c r="F16" s="13" t="s">
        <v>1618</v>
      </c>
      <c r="G16" s="8" t="str">
        <f aca="false">IF(OR(E16="",F16=""),"",IF(OR(E16="Not applicable",F16="Not applicable"),"N/A",IF(MATCH(E16,$T$1:$T$4,0)&lt;MATCH(F16,$T$1:$T$4,0),"Below target","At target")))</f>
        <v/>
      </c>
      <c r="H16" s="13"/>
      <c r="I16" s="13"/>
      <c r="J16" s="14"/>
    </row>
    <row r="17" customFormat="false" ht="15" hidden="false" customHeight="false" outlineLevel="0" collapsed="false">
      <c r="A17" s="36" t="n">
        <v>9</v>
      </c>
      <c r="B17" s="8" t="s">
        <v>1641</v>
      </c>
      <c r="C17" s="8" t="s">
        <v>1629</v>
      </c>
      <c r="D17" s="8" t="s">
        <v>1637</v>
      </c>
      <c r="E17" s="13"/>
      <c r="F17" s="13" t="s">
        <v>1618</v>
      </c>
      <c r="G17" s="8" t="str">
        <f aca="false">IF(OR(E17="",F17=""),"",IF(OR(E17="Not applicable",F17="Not applicable"),"N/A",IF(MATCH(E17,$T$1:$T$4,0)&lt;MATCH(F17,$T$1:$T$4,0),"Below target","At target")))</f>
        <v/>
      </c>
      <c r="H17" s="13"/>
      <c r="I17" s="13"/>
      <c r="J17" s="14"/>
    </row>
    <row r="18" customFormat="false" ht="15" hidden="false" customHeight="false" outlineLevel="0" collapsed="false">
      <c r="A18" s="36" t="n">
        <v>10</v>
      </c>
      <c r="B18" s="8" t="s">
        <v>1642</v>
      </c>
      <c r="C18" s="8" t="s">
        <v>1629</v>
      </c>
      <c r="D18" s="8" t="s">
        <v>1637</v>
      </c>
      <c r="E18" s="13"/>
      <c r="F18" s="13" t="s">
        <v>1618</v>
      </c>
      <c r="G18" s="8" t="str">
        <f aca="false">IF(OR(E18="",F18=""),"",IF(OR(E18="Not applicable",F18="Not applicable"),"N/A",IF(MATCH(E18,$T$1:$T$4,0)&lt;MATCH(F18,$T$1:$T$4,0),"Below target","At target")))</f>
        <v/>
      </c>
      <c r="H18" s="13"/>
      <c r="I18" s="13"/>
      <c r="J18" s="14"/>
    </row>
    <row r="19" customFormat="false" ht="15" hidden="false" customHeight="false" outlineLevel="0" collapsed="false">
      <c r="A19" s="36" t="n">
        <v>11</v>
      </c>
      <c r="B19" s="8" t="s">
        <v>1643</v>
      </c>
      <c r="C19" s="8" t="s">
        <v>1629</v>
      </c>
      <c r="D19" s="8" t="s">
        <v>1637</v>
      </c>
      <c r="E19" s="13"/>
      <c r="F19" s="13" t="s">
        <v>1618</v>
      </c>
      <c r="G19" s="8" t="str">
        <f aca="false">IF(OR(E19="",F19=""),"",IF(OR(E19="Not applicable",F19="Not applicable"),"N/A",IF(MATCH(E19,$T$1:$T$4,0)&lt;MATCH(F19,$T$1:$T$4,0),"Below target","At target")))</f>
        <v/>
      </c>
      <c r="H19" s="13"/>
      <c r="I19" s="13"/>
      <c r="J19" s="14"/>
    </row>
    <row r="20" customFormat="false" ht="22.35" hidden="false" customHeight="false" outlineLevel="0" collapsed="false">
      <c r="A20" s="36" t="n">
        <v>12</v>
      </c>
      <c r="B20" s="8" t="s">
        <v>1644</v>
      </c>
      <c r="C20" s="8" t="s">
        <v>1629</v>
      </c>
      <c r="D20" s="8" t="s">
        <v>1637</v>
      </c>
      <c r="E20" s="13"/>
      <c r="F20" s="13" t="s">
        <v>1618</v>
      </c>
      <c r="G20" s="8" t="str">
        <f aca="false">IF(OR(E20="",F20=""),"",IF(OR(E20="Not applicable",F20="Not applicable"),"N/A",IF(MATCH(E20,$T$1:$T$4,0)&lt;MATCH(F20,$T$1:$T$4,0),"Below target","At target")))</f>
        <v/>
      </c>
      <c r="H20" s="13"/>
      <c r="I20" s="13"/>
      <c r="J20" s="14"/>
    </row>
    <row r="21" customFormat="false" ht="22.35" hidden="false" customHeight="false" outlineLevel="0" collapsed="false">
      <c r="A21" s="36" t="n">
        <v>13</v>
      </c>
      <c r="B21" s="8" t="s">
        <v>1645</v>
      </c>
      <c r="C21" s="8" t="s">
        <v>1629</v>
      </c>
      <c r="D21" s="8" t="s">
        <v>1637</v>
      </c>
      <c r="E21" s="13"/>
      <c r="F21" s="13" t="s">
        <v>1618</v>
      </c>
      <c r="G21" s="8" t="str">
        <f aca="false">IF(OR(E21="",F21=""),"",IF(OR(E21="Not applicable",F21="Not applicable"),"N/A",IF(MATCH(E21,$T$1:$T$4,0)&lt;MATCH(F21,$T$1:$T$4,0),"Below target","At target")))</f>
        <v/>
      </c>
      <c r="H21" s="13"/>
      <c r="I21" s="13"/>
      <c r="J21" s="14"/>
    </row>
    <row r="22" customFormat="false" ht="22.35" hidden="false" customHeight="false" outlineLevel="0" collapsed="false">
      <c r="A22" s="36" t="n">
        <v>14</v>
      </c>
      <c r="B22" s="8" t="s">
        <v>1646</v>
      </c>
      <c r="C22" s="8" t="s">
        <v>1647</v>
      </c>
      <c r="D22" s="8" t="s">
        <v>1637</v>
      </c>
      <c r="E22" s="13"/>
      <c r="F22" s="13" t="s">
        <v>1618</v>
      </c>
      <c r="G22" s="8" t="str">
        <f aca="false">IF(OR(E22="",F22=""),"",IF(OR(E22="Not applicable",F22="Not applicable"),"N/A",IF(MATCH(E22,$T$1:$T$4,0)&lt;MATCH(F22,$T$1:$T$4,0),"Below target","At target")))</f>
        <v/>
      </c>
      <c r="H22" s="13"/>
      <c r="I22" s="13"/>
      <c r="J22" s="14"/>
    </row>
    <row r="23" customFormat="false" ht="22.35" hidden="false" customHeight="false" outlineLevel="0" collapsed="false">
      <c r="A23" s="36" t="n">
        <v>15</v>
      </c>
      <c r="B23" s="8" t="s">
        <v>1648</v>
      </c>
      <c r="C23" s="8" t="s">
        <v>1629</v>
      </c>
      <c r="D23" s="8" t="s">
        <v>1637</v>
      </c>
      <c r="E23" s="13"/>
      <c r="F23" s="13" t="s">
        <v>1618</v>
      </c>
      <c r="G23" s="8" t="str">
        <f aca="false">IF(OR(E23="",F23=""),"",IF(OR(E23="Not applicable",F23="Not applicable"),"N/A",IF(MATCH(E23,$T$1:$T$4,0)&lt;MATCH(F23,$T$1:$T$4,0),"Below target","At target")))</f>
        <v/>
      </c>
      <c r="H23" s="13"/>
      <c r="I23" s="13"/>
      <c r="J23" s="14"/>
    </row>
    <row r="24" customFormat="false" ht="15" hidden="false" customHeight="false" outlineLevel="0" collapsed="false">
      <c r="A24" s="36" t="n">
        <v>16</v>
      </c>
      <c r="B24" s="8" t="s">
        <v>1649</v>
      </c>
      <c r="C24" s="8" t="s">
        <v>1629</v>
      </c>
      <c r="D24" s="8" t="s">
        <v>1650</v>
      </c>
      <c r="E24" s="13"/>
      <c r="F24" s="13" t="s">
        <v>1618</v>
      </c>
      <c r="G24" s="8" t="str">
        <f aca="false">IF(OR(E24="",F24=""),"",IF(OR(E24="Not applicable",F24="Not applicable"),"N/A",IF(MATCH(E24,$T$1:$T$4,0)&lt;MATCH(F24,$T$1:$T$4,0),"Below target","At target")))</f>
        <v/>
      </c>
      <c r="H24" s="13"/>
      <c r="I24" s="13"/>
      <c r="J24" s="14"/>
    </row>
    <row r="25" customFormat="false" ht="15" hidden="false" customHeight="false" outlineLevel="0" collapsed="false">
      <c r="A25" s="36" t="n">
        <v>17</v>
      </c>
      <c r="B25" s="8" t="s">
        <v>1651</v>
      </c>
      <c r="C25" s="8" t="s">
        <v>1629</v>
      </c>
      <c r="D25" s="8" t="s">
        <v>1650</v>
      </c>
      <c r="E25" s="13"/>
      <c r="F25" s="13" t="s">
        <v>1618</v>
      </c>
      <c r="G25" s="8" t="str">
        <f aca="false">IF(OR(E25="",F25=""),"",IF(OR(E25="Not applicable",F25="Not applicable"),"N/A",IF(MATCH(E25,$T$1:$T$4,0)&lt;MATCH(F25,$T$1:$T$4,0),"Below target","At target")))</f>
        <v/>
      </c>
      <c r="H25" s="13"/>
      <c r="I25" s="13"/>
      <c r="J25" s="14"/>
    </row>
    <row r="26" customFormat="false" ht="22.35" hidden="false" customHeight="false" outlineLevel="0" collapsed="false">
      <c r="A26" s="36" t="n">
        <v>18</v>
      </c>
      <c r="B26" s="8" t="s">
        <v>1652</v>
      </c>
      <c r="C26" s="8" t="s">
        <v>1629</v>
      </c>
      <c r="D26" s="8" t="s">
        <v>1634</v>
      </c>
      <c r="E26" s="13"/>
      <c r="F26" s="13" t="s">
        <v>1618</v>
      </c>
      <c r="G26" s="8" t="str">
        <f aca="false">IF(OR(E26="",F26=""),"",IF(OR(E26="Not applicable",F26="Not applicable"),"N/A",IF(MATCH(E26,$T$1:$T$4,0)&lt;MATCH(F26,$T$1:$T$4,0),"Below target","At target")))</f>
        <v/>
      </c>
      <c r="H26" s="13"/>
      <c r="I26" s="13"/>
      <c r="J26" s="14"/>
    </row>
    <row r="27" customFormat="false" ht="22.35" hidden="false" customHeight="false" outlineLevel="0" collapsed="false">
      <c r="A27" s="36" t="n">
        <v>19</v>
      </c>
      <c r="B27" s="8" t="s">
        <v>1653</v>
      </c>
      <c r="C27" s="8" t="s">
        <v>1654</v>
      </c>
      <c r="D27" s="8" t="s">
        <v>1655</v>
      </c>
      <c r="E27" s="13"/>
      <c r="F27" s="13" t="s">
        <v>1618</v>
      </c>
      <c r="G27" s="8" t="str">
        <f aca="false">IF(OR(E27="",F27=""),"",IF(OR(E27="Not applicable",F27="Not applicable"),"N/A",IF(MATCH(E27,$T$1:$T$4,0)&lt;MATCH(F27,$T$1:$T$4,0),"Below target","At target")))</f>
        <v/>
      </c>
      <c r="H27" s="13"/>
      <c r="I27" s="13"/>
      <c r="J27" s="14"/>
    </row>
    <row r="28" customFormat="false" ht="15" hidden="false" customHeight="false" outlineLevel="0" collapsed="false">
      <c r="A28" s="36" t="n">
        <v>20</v>
      </c>
      <c r="B28" s="8" t="s">
        <v>1656</v>
      </c>
      <c r="C28" s="8" t="s">
        <v>1657</v>
      </c>
      <c r="D28" s="8" t="s">
        <v>1658</v>
      </c>
      <c r="E28" s="13"/>
      <c r="F28" s="13" t="s">
        <v>1618</v>
      </c>
      <c r="G28" s="8" t="str">
        <f aca="false">IF(OR(E28="",F28=""),"",IF(OR(E28="Not applicable",F28="Not applicable"),"N/A",IF(MATCH(E28,$T$1:$T$4,0)&lt;MATCH(F28,$T$1:$T$4,0),"Below target","At target")))</f>
        <v/>
      </c>
      <c r="H28" s="13"/>
      <c r="I28" s="13"/>
      <c r="J28" s="14"/>
    </row>
    <row r="29" customFormat="false" ht="15" hidden="false" customHeight="false" outlineLevel="0" collapsed="false">
      <c r="A29" s="36" t="n">
        <v>21</v>
      </c>
      <c r="B29" s="8" t="s">
        <v>1659</v>
      </c>
      <c r="C29" s="8" t="s">
        <v>1660</v>
      </c>
      <c r="D29" s="8" t="s">
        <v>1658</v>
      </c>
      <c r="E29" s="13"/>
      <c r="F29" s="13" t="s">
        <v>1618</v>
      </c>
      <c r="G29" s="8" t="str">
        <f aca="false">IF(OR(E29="",F29=""),"",IF(OR(E29="Not applicable",F29="Not applicable"),"N/A",IF(MATCH(E29,$T$1:$T$4,0)&lt;MATCH(F29,$T$1:$T$4,0),"Below target","At target")))</f>
        <v/>
      </c>
      <c r="H29" s="13"/>
      <c r="I29" s="13"/>
      <c r="J29" s="14"/>
    </row>
    <row r="30" customFormat="false" ht="22.35" hidden="false" customHeight="false" outlineLevel="0" collapsed="false">
      <c r="A30" s="36" t="n">
        <v>22</v>
      </c>
      <c r="B30" s="8" t="s">
        <v>1661</v>
      </c>
      <c r="C30" s="8" t="s">
        <v>1629</v>
      </c>
      <c r="D30" s="8" t="s">
        <v>1630</v>
      </c>
      <c r="E30" s="13"/>
      <c r="F30" s="13" t="s">
        <v>1618</v>
      </c>
      <c r="G30" s="8" t="str">
        <f aca="false">IF(OR(E30="",F30=""),"",IF(OR(E30="Not applicable",F30="Not applicable"),"N/A",IF(MATCH(E30,$T$1:$T$4,0)&lt;MATCH(F30,$T$1:$T$4,0),"Below target","At target")))</f>
        <v/>
      </c>
      <c r="H30" s="13"/>
      <c r="I30" s="13"/>
      <c r="J30" s="14"/>
    </row>
    <row r="31" customFormat="false" ht="22.35" hidden="false" customHeight="false" outlineLevel="0" collapsed="false">
      <c r="A31" s="36" t="n">
        <v>23</v>
      </c>
      <c r="B31" s="8" t="s">
        <v>1662</v>
      </c>
      <c r="C31" s="8" t="s">
        <v>1663</v>
      </c>
      <c r="D31" s="8" t="s">
        <v>1630</v>
      </c>
      <c r="E31" s="13"/>
      <c r="F31" s="13" t="s">
        <v>1618</v>
      </c>
      <c r="G31" s="8" t="str">
        <f aca="false">IF(OR(E31="",F31=""),"",IF(OR(E31="Not applicable",F31="Not applicable"),"N/A",IF(MATCH(E31,$T$1:$T$4,0)&lt;MATCH(F31,$T$1:$T$4,0),"Below target","At target")))</f>
        <v/>
      </c>
      <c r="H31" s="13"/>
      <c r="I31" s="13"/>
      <c r="J31" s="14"/>
    </row>
    <row r="32" customFormat="false" ht="15" hidden="false" customHeight="false" outlineLevel="0" collapsed="false">
      <c r="A32" s="36" t="n">
        <v>24</v>
      </c>
      <c r="B32" s="8" t="s">
        <v>1664</v>
      </c>
      <c r="C32" s="8" t="s">
        <v>1665</v>
      </c>
      <c r="D32" s="8" t="s">
        <v>1637</v>
      </c>
      <c r="E32" s="13"/>
      <c r="F32" s="13" t="s">
        <v>1618</v>
      </c>
      <c r="G32" s="8" t="str">
        <f aca="false">IF(OR(E32="",F32=""),"",IF(OR(E32="Not applicable",F32="Not applicable"),"N/A",IF(MATCH(E32,$T$1:$T$4,0)&lt;MATCH(F32,$T$1:$T$4,0),"Below target","At target")))</f>
        <v/>
      </c>
      <c r="H32" s="13"/>
      <c r="I32" s="13"/>
      <c r="J32" s="14"/>
    </row>
    <row r="33" customFormat="false" ht="22.35" hidden="false" customHeight="false" outlineLevel="0" collapsed="false">
      <c r="A33" s="36" t="n">
        <v>25</v>
      </c>
      <c r="B33" s="8" t="s">
        <v>1666</v>
      </c>
      <c r="C33" s="8" t="s">
        <v>1667</v>
      </c>
      <c r="D33" s="8" t="s">
        <v>1630</v>
      </c>
      <c r="E33" s="13"/>
      <c r="F33" s="13" t="s">
        <v>1618</v>
      </c>
      <c r="G33" s="8" t="str">
        <f aca="false">IF(OR(E33="",F33=""),"",IF(OR(E33="Not applicable",F33="Not applicable"),"N/A",IF(MATCH(E33,$T$1:$T$4,0)&lt;MATCH(F33,$T$1:$T$4,0),"Below target","At target")))</f>
        <v/>
      </c>
      <c r="H33" s="13"/>
      <c r="I33" s="13"/>
      <c r="J33" s="14"/>
    </row>
    <row r="34" customFormat="false" ht="15" hidden="false" customHeight="false" outlineLevel="0" collapsed="false">
      <c r="A34" s="36" t="n">
        <v>26</v>
      </c>
      <c r="B34" s="8" t="s">
        <v>1668</v>
      </c>
      <c r="C34" s="8" t="s">
        <v>1669</v>
      </c>
      <c r="D34" s="8" t="s">
        <v>1630</v>
      </c>
      <c r="E34" s="13"/>
      <c r="F34" s="13" t="s">
        <v>1618</v>
      </c>
      <c r="G34" s="8" t="str">
        <f aca="false">IF(OR(E34="",F34=""),"",IF(OR(E34="Not applicable",F34="Not applicable"),"N/A",IF(MATCH(E34,$T$1:$T$4,0)&lt;MATCH(F34,$T$1:$T$4,0),"Below target","At target")))</f>
        <v/>
      </c>
      <c r="H34" s="13"/>
      <c r="I34" s="13"/>
      <c r="J34" s="14"/>
    </row>
    <row r="35" customFormat="false" ht="15" hidden="false" customHeight="false" outlineLevel="0" collapsed="false">
      <c r="A35" s="36" t="n">
        <v>27</v>
      </c>
      <c r="B35" s="8" t="s">
        <v>1670</v>
      </c>
      <c r="C35" s="8" t="s">
        <v>1669</v>
      </c>
      <c r="D35" s="8" t="s">
        <v>1634</v>
      </c>
      <c r="E35" s="13"/>
      <c r="F35" s="13" t="s">
        <v>1618</v>
      </c>
      <c r="G35" s="8" t="str">
        <f aca="false">IF(OR(E35="",F35=""),"",IF(OR(E35="Not applicable",F35="Not applicable"),"N/A",IF(MATCH(E35,$T$1:$T$4,0)&lt;MATCH(F35,$T$1:$T$4,0),"Below target","At target")))</f>
        <v/>
      </c>
      <c r="H35" s="13"/>
      <c r="I35" s="13"/>
      <c r="J35" s="14"/>
    </row>
    <row r="36" customFormat="false" ht="15" hidden="false" customHeight="false" outlineLevel="0" collapsed="false">
      <c r="A36" s="36" t="n">
        <v>28</v>
      </c>
      <c r="B36" s="8" t="s">
        <v>1671</v>
      </c>
      <c r="C36" s="8" t="s">
        <v>1669</v>
      </c>
      <c r="D36" s="8" t="s">
        <v>1630</v>
      </c>
      <c r="E36" s="13"/>
      <c r="F36" s="13" t="s">
        <v>1618</v>
      </c>
      <c r="G36" s="8" t="str">
        <f aca="false">IF(OR(E36="",F36=""),"",IF(OR(E36="Not applicable",F36="Not applicable"),"N/A",IF(MATCH(E36,$T$1:$T$4,0)&lt;MATCH(F36,$T$1:$T$4,0),"Below target","At target")))</f>
        <v/>
      </c>
      <c r="H36" s="13"/>
      <c r="I36" s="13"/>
      <c r="J36" s="14"/>
    </row>
    <row r="37" customFormat="false" ht="15" hidden="false" customHeight="false" outlineLevel="0" collapsed="false">
      <c r="A37" s="36" t="n">
        <v>29</v>
      </c>
      <c r="B37" s="8" t="s">
        <v>1672</v>
      </c>
      <c r="C37" s="8" t="s">
        <v>1669</v>
      </c>
      <c r="D37" s="8" t="s">
        <v>1630</v>
      </c>
      <c r="E37" s="13"/>
      <c r="F37" s="13" t="s">
        <v>1618</v>
      </c>
      <c r="G37" s="8" t="str">
        <f aca="false">IF(OR(E37="",F37=""),"",IF(OR(E37="Not applicable",F37="Not applicable"),"N/A",IF(MATCH(E37,$T$1:$T$4,0)&lt;MATCH(F37,$T$1:$T$4,0),"Below target","At target")))</f>
        <v/>
      </c>
      <c r="H37" s="13"/>
      <c r="I37" s="13"/>
      <c r="J37" s="14"/>
    </row>
    <row r="38" customFormat="false" ht="15" hidden="false" customHeight="false" outlineLevel="0" collapsed="false">
      <c r="A38" s="36" t="n">
        <v>30</v>
      </c>
      <c r="B38" s="8" t="s">
        <v>1673</v>
      </c>
      <c r="C38" s="8" t="s">
        <v>1669</v>
      </c>
      <c r="D38" s="8" t="s">
        <v>1630</v>
      </c>
      <c r="E38" s="13"/>
      <c r="F38" s="13" t="s">
        <v>1618</v>
      </c>
      <c r="G38" s="8" t="str">
        <f aca="false">IF(OR(E38="",F38=""),"",IF(OR(E38="Not applicable",F38="Not applicable"),"N/A",IF(MATCH(E38,$T$1:$T$4,0)&lt;MATCH(F38,$T$1:$T$4,0),"Below target","At target")))</f>
        <v/>
      </c>
      <c r="H38" s="13"/>
      <c r="I38" s="13"/>
      <c r="J38" s="14"/>
    </row>
    <row r="39" customFormat="false" ht="15" hidden="false" customHeight="false" outlineLevel="0" collapsed="false">
      <c r="A39" s="36" t="n">
        <v>31</v>
      </c>
      <c r="B39" s="8" t="s">
        <v>1674</v>
      </c>
      <c r="C39" s="8" t="s">
        <v>1669</v>
      </c>
      <c r="D39" s="8" t="s">
        <v>1637</v>
      </c>
      <c r="E39" s="13"/>
      <c r="F39" s="13" t="s">
        <v>1618</v>
      </c>
      <c r="G39" s="8" t="str">
        <f aca="false">IF(OR(E39="",F39=""),"",IF(OR(E39="Not applicable",F39="Not applicable"),"N/A",IF(MATCH(E39,$T$1:$T$4,0)&lt;MATCH(F39,$T$1:$T$4,0),"Below target","At target")))</f>
        <v/>
      </c>
      <c r="H39" s="13"/>
      <c r="I39" s="13"/>
      <c r="J39" s="14"/>
    </row>
    <row r="40" customFormat="false" ht="15" hidden="false" customHeight="false" outlineLevel="0" collapsed="false">
      <c r="A40" s="36" t="n">
        <v>32</v>
      </c>
      <c r="B40" s="8" t="s">
        <v>1675</v>
      </c>
      <c r="C40" s="8" t="s">
        <v>1669</v>
      </c>
      <c r="D40" s="8" t="s">
        <v>1630</v>
      </c>
      <c r="E40" s="13"/>
      <c r="F40" s="13" t="s">
        <v>1618</v>
      </c>
      <c r="G40" s="8" t="str">
        <f aca="false">IF(OR(E40="",F40=""),"",IF(OR(E40="Not applicable",F40="Not applicable"),"N/A",IF(MATCH(E40,$T$1:$T$4,0)&lt;MATCH(F40,$T$1:$T$4,0),"Below target","At target")))</f>
        <v/>
      </c>
      <c r="H40" s="13"/>
      <c r="I40" s="13"/>
      <c r="J40" s="14"/>
    </row>
    <row r="41" customFormat="false" ht="15" hidden="false" customHeight="false" outlineLevel="0" collapsed="false">
      <c r="A41" s="36" t="n">
        <v>33</v>
      </c>
      <c r="B41" s="8" t="s">
        <v>1676</v>
      </c>
      <c r="C41" s="8" t="s">
        <v>1669</v>
      </c>
      <c r="D41" s="8" t="s">
        <v>1655</v>
      </c>
      <c r="E41" s="13"/>
      <c r="F41" s="13" t="s">
        <v>1618</v>
      </c>
      <c r="G41" s="8" t="str">
        <f aca="false">IF(OR(E41="",F41=""),"",IF(OR(E41="Not applicable",F41="Not applicable"),"N/A",IF(MATCH(E41,$T$1:$T$4,0)&lt;MATCH(F41,$T$1:$T$4,0),"Below target","At target")))</f>
        <v/>
      </c>
      <c r="H41" s="13"/>
      <c r="I41" s="13"/>
      <c r="J41" s="14"/>
    </row>
    <row r="43" customFormat="false" ht="15" hidden="false" customHeight="false" outlineLevel="0" collapsed="false">
      <c r="B43" s="12" t="s">
        <v>1677</v>
      </c>
      <c r="E43" s="17" t="n">
        <f aca="false">COUNTIF(G9:G41,"Below target")</f>
        <v>0</v>
      </c>
    </row>
    <row r="44" customFormat="false" ht="15" hidden="false" customHeight="false" outlineLevel="0" collapsed="false">
      <c r="B44" s="12" t="s">
        <v>1678</v>
      </c>
      <c r="E44" s="17" t="n">
        <f aca="false">COUNTBLANK(E9:E41)</f>
        <v>33</v>
      </c>
    </row>
  </sheetData>
  <dataValidations count="2">
    <dataValidation allowBlank="true" errorStyle="stop" operator="between" showDropDown="false" showErrorMessage="false" showInputMessage="false" sqref="D5:D6" type="whole">
      <formula1>1</formula1>
      <formula2>4</formula2>
    </dataValidation>
    <dataValidation allowBlank="true" errorStyle="stop" operator="between" showDropDown="false" showErrorMessage="false" showInputMessage="false" sqref="E9:F41" type="list">
      <formula1>"Not achieved,Partially,Largely,Fully,Not applicable"</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Y21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14" topLeftCell="C15" activePane="bottomRight" state="frozen"/>
      <selection pane="topLeft" activeCell="A1" activeCellId="0" sqref="A1"/>
      <selection pane="topRight" activeCell="C1" activeCellId="0" sqref="C1"/>
      <selection pane="bottomLeft" activeCell="A15" activeCellId="0" sqref="A15"/>
      <selection pane="bottomRight" activeCell="A1" activeCellId="0" sqref="A1"/>
    </sheetView>
  </sheetViews>
  <sheetFormatPr defaultColWidth="8.6796875" defaultRowHeight="15" zeroHeight="false" outlineLevelRow="0" outlineLevelCol="0"/>
  <cols>
    <col collapsed="false" customWidth="true" hidden="false" outlineLevel="0" max="1" min="1" style="0" width="34"/>
    <col collapsed="false" customWidth="true" hidden="false" outlineLevel="0" max="2" min="2" style="0" width="12"/>
    <col collapsed="false" customWidth="true" hidden="false" outlineLevel="0" max="3" min="3" style="0" width="11"/>
    <col collapsed="false" customWidth="true" hidden="false" outlineLevel="0" max="4" min="4" style="0" width="12"/>
    <col collapsed="false" customWidth="true" hidden="false" outlineLevel="0" max="5" min="5" style="0" width="18"/>
    <col collapsed="false" customWidth="true" hidden="false" outlineLevel="0" max="6" min="6" style="0" width="34"/>
    <col collapsed="false" customWidth="true" hidden="false" outlineLevel="0" max="7" min="7" style="0" width="26"/>
    <col collapsed="false" customWidth="true" hidden="false" outlineLevel="0" max="10" min="8" style="0" width="12"/>
    <col collapsed="false" customWidth="true" hidden="false" outlineLevel="0" max="11" min="11" style="0" width="10"/>
    <col collapsed="false" customWidth="true" hidden="false" outlineLevel="0" max="13" min="12" style="0" width="9"/>
    <col collapsed="false" customWidth="true" hidden="false" outlineLevel="0" max="14" min="14" style="0" width="16"/>
    <col collapsed="false" customWidth="true" hidden="false" outlineLevel="0" max="15" min="15" style="0" width="22"/>
    <col collapsed="false" customWidth="true" hidden="false" outlineLevel="0" max="16" min="16" style="0" width="24"/>
    <col collapsed="false" customWidth="true" hidden="false" outlineLevel="0" max="17" min="17" style="0" width="10"/>
    <col collapsed="false" customWidth="true" hidden="false" outlineLevel="0" max="19" min="18" style="0" width="12"/>
    <col collapsed="false" customWidth="true" hidden="false" outlineLevel="0" max="21" min="20" style="0" width="9"/>
    <col collapsed="false" customWidth="true" hidden="false" outlineLevel="0" max="22" min="22" style="0" width="12"/>
    <col collapsed="false" customWidth="true" hidden="false" outlineLevel="0" max="24" min="23" style="0" width="3"/>
    <col collapsed="false" customWidth="true" hidden="false" outlineLevel="0" max="25" min="25" style="0" width="14"/>
  </cols>
  <sheetData>
    <row r="1" customFormat="false" ht="17.35" hidden="false" customHeight="false" outlineLevel="0" collapsed="false">
      <c r="A1" s="10" t="s">
        <v>1679</v>
      </c>
    </row>
    <row r="2" customFormat="false" ht="15" hidden="false" customHeight="false" outlineLevel="0" collapsed="false">
      <c r="A2" s="11" t="s">
        <v>1680</v>
      </c>
    </row>
    <row r="3" customFormat="false" ht="15" hidden="false" customHeight="false" outlineLevel="0" collapsed="false">
      <c r="A3" s="9" t="s">
        <v>134</v>
      </c>
    </row>
    <row r="5" customFormat="false" ht="30" hidden="false" customHeight="true" outlineLevel="0" collapsed="false">
      <c r="A5" s="6" t="s">
        <v>1681</v>
      </c>
      <c r="B5" s="6" t="inlineStr">
        <is>
          <t>Service-level value</t>
        </is>
      </c>
      <c r="D5" s="6" t="s">
        <v>1682</v>
      </c>
      <c r="E5" s="6" t="s">
        <v>1683</v>
      </c>
      <c r="G5" s="46" t="s">
        <v>1684</v>
      </c>
      <c r="H5" s="46" t="inlineStr">
        <is>
          <t>Reporting value</t>
        </is>
      </c>
      <c r="Y5" s="46" t="s">
        <v>1685</v>
      </c>
    </row>
    <row r="6" customFormat="false" ht="53.7" hidden="false" customHeight="false" outlineLevel="0" collapsed="false">
      <c r="A6" s="12" t="s">
        <v>1686</v>
      </c>
      <c r="B6" s="13" t="n">
        <v>1</v>
      </c>
      <c r="D6" s="8" t="s">
        <v>1687</v>
      </c>
      <c r="E6" s="8" t="s">
        <v>1688</v>
      </c>
      <c r="G6" s="12" t="s">
        <v>1689</v>
      </c>
      <c r="H6" s="28"/>
      <c r="Y6" s="14"/>
    </row>
    <row r="7" customFormat="false" ht="43.25" hidden="false" customHeight="false" outlineLevel="0" collapsed="false">
      <c r="A7" s="12" t="s">
        <v>1690</v>
      </c>
      <c r="B7" s="13" t="n">
        <v>5</v>
      </c>
      <c r="D7" s="8" t="s">
        <v>1691</v>
      </c>
      <c r="E7" s="8" t="s">
        <v>1692</v>
      </c>
      <c r="G7" s="12" t="s">
        <v>1693</v>
      </c>
      <c r="H7" s="45" t="n">
        <f aca="false">COUNTA(A15:A215)</f>
        <v>0</v>
      </c>
      <c r="Y7" s="14"/>
    </row>
    <row r="8" customFormat="false" ht="32.8" hidden="false" customHeight="false" outlineLevel="0" collapsed="false">
      <c r="A8" s="12" t="s">
        <v>1694</v>
      </c>
      <c r="B8" s="13" t="n">
        <v>15</v>
      </c>
      <c r="D8" s="8" t="s">
        <v>1695</v>
      </c>
      <c r="E8" s="8" t="s">
        <v>1696</v>
      </c>
      <c r="G8" s="12" t="s">
        <v>1697</v>
      </c>
      <c r="H8" s="51" t="str">
        <f aca="false">IF(OR(H6="",H6=0),"",H7/H6*1000)</f>
        <v/>
      </c>
      <c r="Y8" s="14"/>
    </row>
    <row r="9" customFormat="false" ht="85.05" hidden="false" customHeight="false" outlineLevel="0" collapsed="false">
      <c r="A9" s="12" t="s">
        <v>1698</v>
      </c>
      <c r="B9" s="13" t="n">
        <v>3</v>
      </c>
      <c r="D9" s="8" t="s">
        <v>1699</v>
      </c>
      <c r="E9" s="8" t="s">
        <v>1700</v>
      </c>
      <c r="G9" s="12" t="s">
        <v>1701</v>
      </c>
      <c r="H9" s="20" t="str">
        <f aca="false">IF(H7=0,"",SUMPRODUCT((I15:I215&lt;&gt;"")*(I15:I215-B15:B215&lt;=$B$6))/H7)</f>
        <v/>
      </c>
      <c r="Y9" s="14"/>
    </row>
    <row r="10" customFormat="false" ht="64.15" hidden="false" customHeight="false" outlineLevel="0" collapsed="false">
      <c r="A10" s="12" t="s">
        <v>1702</v>
      </c>
      <c r="B10" s="13" t="n">
        <v>10</v>
      </c>
      <c r="D10" s="8" t="s">
        <v>1703</v>
      </c>
      <c r="E10" s="8" t="s">
        <v>1704</v>
      </c>
      <c r="G10" s="12" t="s">
        <v>1705</v>
      </c>
      <c r="H10" s="51" t="str">
        <f aca="false">IFERROR(AVERAGE(K15:K215),"")</f>
        <v/>
      </c>
      <c r="Y10" s="14"/>
    </row>
    <row r="11" customFormat="false" ht="43.25" hidden="false" customHeight="false" outlineLevel="0" collapsed="false">
      <c r="A11" s="12" t="s">
        <v>1706</v>
      </c>
      <c r="B11" s="17" t="n">
        <f aca="false">COUNT(K15:K215)</f>
        <v>0</v>
      </c>
      <c r="D11" s="8" t="s">
        <v>1707</v>
      </c>
      <c r="E11" s="8" t="s">
        <v>1708</v>
      </c>
      <c r="G11" s="12" t="s">
        <v>1709</v>
      </c>
      <c r="H11" s="51" t="str">
        <f aca="false">IFERROR(AVERAGE(T15:T215),"")</f>
        <v/>
      </c>
      <c r="Y11" s="14"/>
    </row>
    <row r="12" customFormat="false" ht="22.35" hidden="false" customHeight="false" outlineLevel="0" collapsed="false">
      <c r="A12" s="12" t="s">
        <v>1710</v>
      </c>
      <c r="B12" s="20" t="str">
        <f aca="false">IF(B11=0,"",COUNTIF(M15:M215,"Yes")/B11)</f>
        <v/>
      </c>
      <c r="G12" s="12" t="s">
        <v>1711</v>
      </c>
      <c r="H12" s="38" t="n">
        <f aca="false">COUNTIF(V15:V215,"Y")</f>
        <v>0</v>
      </c>
      <c r="Y12" s="14"/>
    </row>
    <row r="13" customFormat="false" ht="15" hidden="false" customHeight="false" outlineLevel="0" collapsed="false">
      <c r="D13" s="52" t="s">
        <v>1712</v>
      </c>
      <c r="Y13" s="14"/>
    </row>
    <row r="14" customFormat="false" ht="30" hidden="false" customHeight="true" outlineLevel="0" collapsed="false">
      <c r="A14" s="6" t="s">
        <v>1713</v>
      </c>
      <c r="B14" s="6" t="s">
        <v>1714</v>
      </c>
      <c r="C14" s="6" t="s">
        <v>1715</v>
      </c>
      <c r="D14" s="6" t="s">
        <v>1716</v>
      </c>
      <c r="E14" s="6" t="s">
        <v>135</v>
      </c>
      <c r="F14" s="6" t="s">
        <v>465</v>
      </c>
      <c r="G14" s="6" t="s">
        <v>1717</v>
      </c>
      <c r="H14" s="6" t="s">
        <v>1718</v>
      </c>
      <c r="I14" s="6" t="s">
        <v>1719</v>
      </c>
      <c r="J14" s="6" t="s">
        <v>1720</v>
      </c>
      <c r="K14" s="6" t="s">
        <v>1721</v>
      </c>
      <c r="L14" s="6" t="s">
        <v>1722</v>
      </c>
      <c r="M14" s="6" t="s">
        <v>1723</v>
      </c>
      <c r="N14" s="6" t="s">
        <v>1724</v>
      </c>
      <c r="O14" s="6" t="s">
        <v>1280</v>
      </c>
      <c r="P14" s="6" t="s">
        <v>1725</v>
      </c>
      <c r="Q14" s="6" t="s">
        <v>1726</v>
      </c>
      <c r="R14" s="6" t="s">
        <v>1727</v>
      </c>
      <c r="S14" s="6" t="s">
        <v>1728</v>
      </c>
      <c r="T14" s="6" t="s">
        <v>1729</v>
      </c>
      <c r="U14" s="6" t="s">
        <v>1730</v>
      </c>
      <c r="V14" s="6" t="s">
        <v>1731</v>
      </c>
      <c r="Y14" s="14"/>
    </row>
    <row r="15" customFormat="false" ht="22.35" hidden="false" customHeight="false" outlineLevel="0" collapsed="false">
      <c r="A15" s="42" t="s">
        <v>1732</v>
      </c>
      <c r="B15" s="58"/>
      <c r="C15" s="42" t="s">
        <v>1733</v>
      </c>
      <c r="D15" s="42" t="s">
        <v>1734</v>
      </c>
      <c r="E15" s="42" t="s">
        <v>1735</v>
      </c>
      <c r="F15" s="42" t="s">
        <v>1736</v>
      </c>
      <c r="G15" s="42" t="s">
        <v>1737</v>
      </c>
      <c r="H15" s="42" t="s">
        <v>713</v>
      </c>
      <c r="I15" s="58"/>
      <c r="J15" s="58"/>
      <c r="K15" s="42"/>
      <c r="L15" s="42"/>
      <c r="M15" s="42"/>
      <c r="N15" s="42"/>
      <c r="O15" s="42" t="s">
        <v>1738</v>
      </c>
      <c r="P15" s="42" t="s">
        <v>1739</v>
      </c>
      <c r="Y15" s="14"/>
    </row>
    <row r="16" customFormat="false" ht="15" hidden="false" customHeight="false" outlineLevel="0" collapsed="false">
      <c r="A16" s="13"/>
      <c r="B16" s="14"/>
      <c r="C16" s="13"/>
      <c r="D16" s="13"/>
      <c r="E16" s="13"/>
      <c r="F16" s="13"/>
      <c r="G16" s="13"/>
      <c r="H16" s="13"/>
      <c r="I16" s="14"/>
      <c r="J16" s="14"/>
      <c r="K16" s="8" t="str">
        <f aca="false">IF(AND(ISNUMBER(B16),ISNUMBER(J16)),NETWORKDAYS(B16,J16,$Y$6:$Y$40)-1,"")</f>
        <v/>
      </c>
      <c r="L16" s="8" t="str">
        <f aca="false">IF(B16="","",IF(H16="Y",$B$8,$B$7))</f>
        <v/>
      </c>
      <c r="M16" s="8" t="str">
        <f aca="false">IF(K16="","",IF(K16&lt;=L16,"Yes","No"))</f>
        <v/>
      </c>
      <c r="N16" s="13"/>
      <c r="O16" s="13"/>
      <c r="P16" s="13"/>
      <c r="Q16" s="13"/>
      <c r="R16" s="14"/>
      <c r="S16" s="14"/>
      <c r="T16" s="8" t="str">
        <f aca="false">IF(AND(ISNUMBER(R16),ISNUMBER(S16)),NETWORKDAYS(R16,S16,$Y$6:$Y$40)-1,"")</f>
        <v/>
      </c>
      <c r="U16" s="8" t="str">
        <f aca="false">IF(T16="","",IF(T16&lt;=$B$10,"Yes","No"))</f>
        <v/>
      </c>
      <c r="V16" s="13"/>
      <c r="Y16" s="14"/>
    </row>
    <row r="17" customFormat="false" ht="15" hidden="false" customHeight="false" outlineLevel="0" collapsed="false">
      <c r="A17" s="13"/>
      <c r="B17" s="14"/>
      <c r="C17" s="13"/>
      <c r="D17" s="13"/>
      <c r="E17" s="13"/>
      <c r="F17" s="13"/>
      <c r="G17" s="13"/>
      <c r="H17" s="13"/>
      <c r="I17" s="14"/>
      <c r="J17" s="14"/>
      <c r="K17" s="8" t="str">
        <f aca="false">IF(AND(ISNUMBER(B17),ISNUMBER(J17)),NETWORKDAYS(B17,J17,$Y$6:$Y$40)-1,"")</f>
        <v/>
      </c>
      <c r="L17" s="8" t="str">
        <f aca="false">IF(B17="","",IF(H17="Y",$B$8,$B$7))</f>
        <v/>
      </c>
      <c r="M17" s="8" t="str">
        <f aca="false">IF(K17="","",IF(K17&lt;=L17,"Yes","No"))</f>
        <v/>
      </c>
      <c r="N17" s="13"/>
      <c r="O17" s="13"/>
      <c r="P17" s="13"/>
      <c r="Q17" s="13"/>
      <c r="R17" s="14"/>
      <c r="S17" s="14"/>
      <c r="T17" s="8" t="str">
        <f aca="false">IF(AND(ISNUMBER(R17),ISNUMBER(S17)),NETWORKDAYS(R17,S17,$Y$6:$Y$40)-1,"")</f>
        <v/>
      </c>
      <c r="U17" s="8" t="str">
        <f aca="false">IF(T17="","",IF(T17&lt;=$B$10,"Yes","No"))</f>
        <v/>
      </c>
      <c r="V17" s="13"/>
      <c r="Y17" s="14"/>
    </row>
    <row r="18" customFormat="false" ht="15" hidden="false" customHeight="false" outlineLevel="0" collapsed="false">
      <c r="A18" s="13"/>
      <c r="B18" s="14"/>
      <c r="C18" s="13"/>
      <c r="D18" s="13"/>
      <c r="E18" s="13"/>
      <c r="F18" s="13"/>
      <c r="G18" s="13"/>
      <c r="H18" s="13"/>
      <c r="I18" s="14"/>
      <c r="J18" s="14"/>
      <c r="K18" s="8" t="str">
        <f aca="false">IF(AND(ISNUMBER(B18),ISNUMBER(J18)),NETWORKDAYS(B18,J18,$Y$6:$Y$40)-1,"")</f>
        <v/>
      </c>
      <c r="L18" s="8" t="str">
        <f aca="false">IF(B18="","",IF(H18="Y",$B$8,$B$7))</f>
        <v/>
      </c>
      <c r="M18" s="8" t="str">
        <f aca="false">IF(K18="","",IF(K18&lt;=L18,"Yes","No"))</f>
        <v/>
      </c>
      <c r="N18" s="13"/>
      <c r="O18" s="13"/>
      <c r="P18" s="13"/>
      <c r="Q18" s="13"/>
      <c r="R18" s="14"/>
      <c r="S18" s="14"/>
      <c r="T18" s="8" t="str">
        <f aca="false">IF(AND(ISNUMBER(R18),ISNUMBER(S18)),NETWORKDAYS(R18,S18,$Y$6:$Y$40)-1,"")</f>
        <v/>
      </c>
      <c r="U18" s="8" t="str">
        <f aca="false">IF(T18="","",IF(T18&lt;=$B$10,"Yes","No"))</f>
        <v/>
      </c>
      <c r="V18" s="13"/>
      <c r="Y18" s="14"/>
    </row>
    <row r="19" customFormat="false" ht="15" hidden="false" customHeight="false" outlineLevel="0" collapsed="false">
      <c r="A19" s="13"/>
      <c r="B19" s="14"/>
      <c r="C19" s="13"/>
      <c r="D19" s="13"/>
      <c r="E19" s="13"/>
      <c r="F19" s="13"/>
      <c r="G19" s="13"/>
      <c r="H19" s="13"/>
      <c r="I19" s="14"/>
      <c r="J19" s="14"/>
      <c r="K19" s="8" t="str">
        <f aca="false">IF(AND(ISNUMBER(B19),ISNUMBER(J19)),NETWORKDAYS(B19,J19,$Y$6:$Y$40)-1,"")</f>
        <v/>
      </c>
      <c r="L19" s="8" t="str">
        <f aca="false">IF(B19="","",IF(H19="Y",$B$8,$B$7))</f>
        <v/>
      </c>
      <c r="M19" s="8" t="str">
        <f aca="false">IF(K19="","",IF(K19&lt;=L19,"Yes","No"))</f>
        <v/>
      </c>
      <c r="N19" s="13"/>
      <c r="O19" s="13"/>
      <c r="P19" s="13"/>
      <c r="Q19" s="13"/>
      <c r="R19" s="14"/>
      <c r="S19" s="14"/>
      <c r="T19" s="8" t="str">
        <f aca="false">IF(AND(ISNUMBER(R19),ISNUMBER(S19)),NETWORKDAYS(R19,S19,$Y$6:$Y$40)-1,"")</f>
        <v/>
      </c>
      <c r="U19" s="8" t="str">
        <f aca="false">IF(T19="","",IF(T19&lt;=$B$10,"Yes","No"))</f>
        <v/>
      </c>
      <c r="V19" s="13"/>
      <c r="Y19" s="14"/>
    </row>
    <row r="20" customFormat="false" ht="15" hidden="false" customHeight="false" outlineLevel="0" collapsed="false">
      <c r="A20" s="13"/>
      <c r="B20" s="14"/>
      <c r="C20" s="13"/>
      <c r="D20" s="13"/>
      <c r="E20" s="13"/>
      <c r="F20" s="13"/>
      <c r="G20" s="13"/>
      <c r="H20" s="13"/>
      <c r="I20" s="14"/>
      <c r="J20" s="14"/>
      <c r="K20" s="8" t="str">
        <f aca="false">IF(AND(ISNUMBER(B20),ISNUMBER(J20)),NETWORKDAYS(B20,J20,$Y$6:$Y$40)-1,"")</f>
        <v/>
      </c>
      <c r="L20" s="8" t="str">
        <f aca="false">IF(B20="","",IF(H20="Y",$B$8,$B$7))</f>
        <v/>
      </c>
      <c r="M20" s="8" t="str">
        <f aca="false">IF(K20="","",IF(K20&lt;=L20,"Yes","No"))</f>
        <v/>
      </c>
      <c r="N20" s="13"/>
      <c r="O20" s="13"/>
      <c r="P20" s="13"/>
      <c r="Q20" s="13"/>
      <c r="R20" s="14"/>
      <c r="S20" s="14"/>
      <c r="T20" s="8" t="str">
        <f aca="false">IF(AND(ISNUMBER(R20),ISNUMBER(S20)),NETWORKDAYS(R20,S20,$Y$6:$Y$40)-1,"")</f>
        <v/>
      </c>
      <c r="U20" s="8" t="str">
        <f aca="false">IF(T20="","",IF(T20&lt;=$B$10,"Yes","No"))</f>
        <v/>
      </c>
      <c r="V20" s="13"/>
      <c r="Y20" s="14"/>
    </row>
    <row r="21" customFormat="false" ht="15" hidden="false" customHeight="false" outlineLevel="0" collapsed="false">
      <c r="A21" s="13"/>
      <c r="B21" s="14"/>
      <c r="C21" s="13"/>
      <c r="D21" s="13"/>
      <c r="E21" s="13"/>
      <c r="F21" s="13"/>
      <c r="G21" s="13"/>
      <c r="H21" s="13"/>
      <c r="I21" s="14"/>
      <c r="J21" s="14"/>
      <c r="K21" s="8" t="str">
        <f aca="false">IF(AND(ISNUMBER(B21),ISNUMBER(J21)),NETWORKDAYS(B21,J21,$Y$6:$Y$40)-1,"")</f>
        <v/>
      </c>
      <c r="L21" s="8" t="str">
        <f aca="false">IF(B21="","",IF(H21="Y",$B$8,$B$7))</f>
        <v/>
      </c>
      <c r="M21" s="8" t="str">
        <f aca="false">IF(K21="","",IF(K21&lt;=L21,"Yes","No"))</f>
        <v/>
      </c>
      <c r="N21" s="13"/>
      <c r="O21" s="13"/>
      <c r="P21" s="13"/>
      <c r="Q21" s="13"/>
      <c r="R21" s="14"/>
      <c r="S21" s="14"/>
      <c r="T21" s="8" t="str">
        <f aca="false">IF(AND(ISNUMBER(R21),ISNUMBER(S21)),NETWORKDAYS(R21,S21,$Y$6:$Y$40)-1,"")</f>
        <v/>
      </c>
      <c r="U21" s="8" t="str">
        <f aca="false">IF(T21="","",IF(T21&lt;=$B$10,"Yes","No"))</f>
        <v/>
      </c>
      <c r="V21" s="13"/>
      <c r="Y21" s="14"/>
    </row>
    <row r="22" customFormat="false" ht="15" hidden="false" customHeight="false" outlineLevel="0" collapsed="false">
      <c r="A22" s="13"/>
      <c r="B22" s="14"/>
      <c r="C22" s="13"/>
      <c r="D22" s="13"/>
      <c r="E22" s="13"/>
      <c r="F22" s="13"/>
      <c r="G22" s="13"/>
      <c r="H22" s="13"/>
      <c r="I22" s="14"/>
      <c r="J22" s="14"/>
      <c r="K22" s="8" t="str">
        <f aca="false">IF(AND(ISNUMBER(B22),ISNUMBER(J22)),NETWORKDAYS(B22,J22,$Y$6:$Y$40)-1,"")</f>
        <v/>
      </c>
      <c r="L22" s="8" t="str">
        <f aca="false">IF(B22="","",IF(H22="Y",$B$8,$B$7))</f>
        <v/>
      </c>
      <c r="M22" s="8" t="str">
        <f aca="false">IF(K22="","",IF(K22&lt;=L22,"Yes","No"))</f>
        <v/>
      </c>
      <c r="N22" s="13"/>
      <c r="O22" s="13"/>
      <c r="P22" s="13"/>
      <c r="Q22" s="13"/>
      <c r="R22" s="14"/>
      <c r="S22" s="14"/>
      <c r="T22" s="8" t="str">
        <f aca="false">IF(AND(ISNUMBER(R22),ISNUMBER(S22)),NETWORKDAYS(R22,S22,$Y$6:$Y$40)-1,"")</f>
        <v/>
      </c>
      <c r="U22" s="8" t="str">
        <f aca="false">IF(T22="","",IF(T22&lt;=$B$10,"Yes","No"))</f>
        <v/>
      </c>
      <c r="V22" s="13"/>
      <c r="Y22" s="14"/>
    </row>
    <row r="23" customFormat="false" ht="15" hidden="false" customHeight="false" outlineLevel="0" collapsed="false">
      <c r="A23" s="13"/>
      <c r="B23" s="14"/>
      <c r="C23" s="13"/>
      <c r="D23" s="13"/>
      <c r="E23" s="13"/>
      <c r="F23" s="13"/>
      <c r="G23" s="13"/>
      <c r="H23" s="13"/>
      <c r="I23" s="14"/>
      <c r="J23" s="14"/>
      <c r="K23" s="8" t="str">
        <f aca="false">IF(AND(ISNUMBER(B23),ISNUMBER(J23)),NETWORKDAYS(B23,J23,$Y$6:$Y$40)-1,"")</f>
        <v/>
      </c>
      <c r="L23" s="8" t="str">
        <f aca="false">IF(B23="","",IF(H23="Y",$B$8,$B$7))</f>
        <v/>
      </c>
      <c r="M23" s="8" t="str">
        <f aca="false">IF(K23="","",IF(K23&lt;=L23,"Yes","No"))</f>
        <v/>
      </c>
      <c r="N23" s="13"/>
      <c r="O23" s="13"/>
      <c r="P23" s="13"/>
      <c r="Q23" s="13"/>
      <c r="R23" s="14"/>
      <c r="S23" s="14"/>
      <c r="T23" s="8" t="str">
        <f aca="false">IF(AND(ISNUMBER(R23),ISNUMBER(S23)),NETWORKDAYS(R23,S23,$Y$6:$Y$40)-1,"")</f>
        <v/>
      </c>
      <c r="U23" s="8" t="str">
        <f aca="false">IF(T23="","",IF(T23&lt;=$B$10,"Yes","No"))</f>
        <v/>
      </c>
      <c r="V23" s="13"/>
      <c r="Y23" s="14"/>
    </row>
    <row r="24" customFormat="false" ht="15" hidden="false" customHeight="false" outlineLevel="0" collapsed="false">
      <c r="A24" s="13"/>
      <c r="B24" s="14"/>
      <c r="C24" s="13"/>
      <c r="D24" s="13"/>
      <c r="E24" s="13"/>
      <c r="F24" s="13"/>
      <c r="G24" s="13"/>
      <c r="H24" s="13"/>
      <c r="I24" s="14"/>
      <c r="J24" s="14"/>
      <c r="K24" s="8" t="str">
        <f aca="false">IF(AND(ISNUMBER(B24),ISNUMBER(J24)),NETWORKDAYS(B24,J24,$Y$6:$Y$40)-1,"")</f>
        <v/>
      </c>
      <c r="L24" s="8" t="str">
        <f aca="false">IF(B24="","",IF(H24="Y",$B$8,$B$7))</f>
        <v/>
      </c>
      <c r="M24" s="8" t="str">
        <f aca="false">IF(K24="","",IF(K24&lt;=L24,"Yes","No"))</f>
        <v/>
      </c>
      <c r="N24" s="13"/>
      <c r="O24" s="13"/>
      <c r="P24" s="13"/>
      <c r="Q24" s="13"/>
      <c r="R24" s="14"/>
      <c r="S24" s="14"/>
      <c r="T24" s="8" t="str">
        <f aca="false">IF(AND(ISNUMBER(R24),ISNUMBER(S24)),NETWORKDAYS(R24,S24,$Y$6:$Y$40)-1,"")</f>
        <v/>
      </c>
      <c r="U24" s="8" t="str">
        <f aca="false">IF(T24="","",IF(T24&lt;=$B$10,"Yes","No"))</f>
        <v/>
      </c>
      <c r="V24" s="13"/>
      <c r="Y24" s="14"/>
    </row>
    <row r="25" customFormat="false" ht="15" hidden="false" customHeight="false" outlineLevel="0" collapsed="false">
      <c r="A25" s="13"/>
      <c r="B25" s="14"/>
      <c r="C25" s="13"/>
      <c r="D25" s="13"/>
      <c r="E25" s="13"/>
      <c r="F25" s="13"/>
      <c r="G25" s="13"/>
      <c r="H25" s="13"/>
      <c r="I25" s="14"/>
      <c r="J25" s="14"/>
      <c r="K25" s="8" t="str">
        <f aca="false">IF(AND(ISNUMBER(B25),ISNUMBER(J25)),NETWORKDAYS(B25,J25,$Y$6:$Y$40)-1,"")</f>
        <v/>
      </c>
      <c r="L25" s="8" t="str">
        <f aca="false">IF(B25="","",IF(H25="Y",$B$8,$B$7))</f>
        <v/>
      </c>
      <c r="M25" s="8" t="str">
        <f aca="false">IF(K25="","",IF(K25&lt;=L25,"Yes","No"))</f>
        <v/>
      </c>
      <c r="N25" s="13"/>
      <c r="O25" s="13"/>
      <c r="P25" s="13"/>
      <c r="Q25" s="13"/>
      <c r="R25" s="14"/>
      <c r="S25" s="14"/>
      <c r="T25" s="8" t="str">
        <f aca="false">IF(AND(ISNUMBER(R25),ISNUMBER(S25)),NETWORKDAYS(R25,S25,$Y$6:$Y$40)-1,"")</f>
        <v/>
      </c>
      <c r="U25" s="8" t="str">
        <f aca="false">IF(T25="","",IF(T25&lt;=$B$10,"Yes","No"))</f>
        <v/>
      </c>
      <c r="V25" s="13"/>
      <c r="Y25" s="14"/>
    </row>
    <row r="26" customFormat="false" ht="15" hidden="false" customHeight="false" outlineLevel="0" collapsed="false">
      <c r="A26" s="13"/>
      <c r="B26" s="14"/>
      <c r="C26" s="13"/>
      <c r="D26" s="13"/>
      <c r="E26" s="13"/>
      <c r="F26" s="13"/>
      <c r="G26" s="13"/>
      <c r="H26" s="13"/>
      <c r="I26" s="14"/>
      <c r="J26" s="14"/>
      <c r="K26" s="8" t="str">
        <f aca="false">IF(AND(ISNUMBER(B26),ISNUMBER(J26)),NETWORKDAYS(B26,J26,$Y$6:$Y$40)-1,"")</f>
        <v/>
      </c>
      <c r="L26" s="8" t="str">
        <f aca="false">IF(B26="","",IF(H26="Y",$B$8,$B$7))</f>
        <v/>
      </c>
      <c r="M26" s="8" t="str">
        <f aca="false">IF(K26="","",IF(K26&lt;=L26,"Yes","No"))</f>
        <v/>
      </c>
      <c r="N26" s="13"/>
      <c r="O26" s="13"/>
      <c r="P26" s="13"/>
      <c r="Q26" s="13"/>
      <c r="R26" s="14"/>
      <c r="S26" s="14"/>
      <c r="T26" s="8" t="str">
        <f aca="false">IF(AND(ISNUMBER(R26),ISNUMBER(S26)),NETWORKDAYS(R26,S26,$Y$6:$Y$40)-1,"")</f>
        <v/>
      </c>
      <c r="U26" s="8" t="str">
        <f aca="false">IF(T26="","",IF(T26&lt;=$B$10,"Yes","No"))</f>
        <v/>
      </c>
      <c r="V26" s="13"/>
      <c r="Y26" s="14"/>
    </row>
    <row r="27" customFormat="false" ht="15" hidden="false" customHeight="false" outlineLevel="0" collapsed="false">
      <c r="A27" s="13"/>
      <c r="B27" s="14"/>
      <c r="C27" s="13"/>
      <c r="D27" s="13"/>
      <c r="E27" s="13"/>
      <c r="F27" s="13"/>
      <c r="G27" s="13"/>
      <c r="H27" s="13"/>
      <c r="I27" s="14"/>
      <c r="J27" s="14"/>
      <c r="K27" s="8" t="str">
        <f aca="false">IF(AND(ISNUMBER(B27),ISNUMBER(J27)),NETWORKDAYS(B27,J27,$Y$6:$Y$40)-1,"")</f>
        <v/>
      </c>
      <c r="L27" s="8" t="str">
        <f aca="false">IF(B27="","",IF(H27="Y",$B$8,$B$7))</f>
        <v/>
      </c>
      <c r="M27" s="8" t="str">
        <f aca="false">IF(K27="","",IF(K27&lt;=L27,"Yes","No"))</f>
        <v/>
      </c>
      <c r="N27" s="13"/>
      <c r="O27" s="13"/>
      <c r="P27" s="13"/>
      <c r="Q27" s="13"/>
      <c r="R27" s="14"/>
      <c r="S27" s="14"/>
      <c r="T27" s="8" t="str">
        <f aca="false">IF(AND(ISNUMBER(R27),ISNUMBER(S27)),NETWORKDAYS(R27,S27,$Y$6:$Y$40)-1,"")</f>
        <v/>
      </c>
      <c r="U27" s="8" t="str">
        <f aca="false">IF(T27="","",IF(T27&lt;=$B$10,"Yes","No"))</f>
        <v/>
      </c>
      <c r="V27" s="13"/>
      <c r="Y27" s="14"/>
    </row>
    <row r="28" customFormat="false" ht="15" hidden="false" customHeight="false" outlineLevel="0" collapsed="false">
      <c r="A28" s="13"/>
      <c r="B28" s="14"/>
      <c r="C28" s="13"/>
      <c r="D28" s="13"/>
      <c r="E28" s="13"/>
      <c r="F28" s="13"/>
      <c r="G28" s="13"/>
      <c r="H28" s="13"/>
      <c r="I28" s="14"/>
      <c r="J28" s="14"/>
      <c r="K28" s="8" t="str">
        <f aca="false">IF(AND(ISNUMBER(B28),ISNUMBER(J28)),NETWORKDAYS(B28,J28,$Y$6:$Y$40)-1,"")</f>
        <v/>
      </c>
      <c r="L28" s="8" t="str">
        <f aca="false">IF(B28="","",IF(H28="Y",$B$8,$B$7))</f>
        <v/>
      </c>
      <c r="M28" s="8" t="str">
        <f aca="false">IF(K28="","",IF(K28&lt;=L28,"Yes","No"))</f>
        <v/>
      </c>
      <c r="N28" s="13"/>
      <c r="O28" s="13"/>
      <c r="P28" s="13"/>
      <c r="Q28" s="13"/>
      <c r="R28" s="14"/>
      <c r="S28" s="14"/>
      <c r="T28" s="8" t="str">
        <f aca="false">IF(AND(ISNUMBER(R28),ISNUMBER(S28)),NETWORKDAYS(R28,S28,$Y$6:$Y$40)-1,"")</f>
        <v/>
      </c>
      <c r="U28" s="8" t="str">
        <f aca="false">IF(T28="","",IF(T28&lt;=$B$10,"Yes","No"))</f>
        <v/>
      </c>
      <c r="V28" s="13"/>
      <c r="Y28" s="14"/>
    </row>
    <row r="29" customFormat="false" ht="15" hidden="false" customHeight="false" outlineLevel="0" collapsed="false">
      <c r="A29" s="13"/>
      <c r="B29" s="14"/>
      <c r="C29" s="13"/>
      <c r="D29" s="13"/>
      <c r="E29" s="13"/>
      <c r="F29" s="13"/>
      <c r="G29" s="13"/>
      <c r="H29" s="13"/>
      <c r="I29" s="14"/>
      <c r="J29" s="14"/>
      <c r="K29" s="8" t="str">
        <f aca="false">IF(AND(ISNUMBER(B29),ISNUMBER(J29)),NETWORKDAYS(B29,J29,$Y$6:$Y$40)-1,"")</f>
        <v/>
      </c>
      <c r="L29" s="8" t="str">
        <f aca="false">IF(B29="","",IF(H29="Y",$B$8,$B$7))</f>
        <v/>
      </c>
      <c r="M29" s="8" t="str">
        <f aca="false">IF(K29="","",IF(K29&lt;=L29,"Yes","No"))</f>
        <v/>
      </c>
      <c r="N29" s="13"/>
      <c r="O29" s="13"/>
      <c r="P29" s="13"/>
      <c r="Q29" s="13"/>
      <c r="R29" s="14"/>
      <c r="S29" s="14"/>
      <c r="T29" s="8" t="str">
        <f aca="false">IF(AND(ISNUMBER(R29),ISNUMBER(S29)),NETWORKDAYS(R29,S29,$Y$6:$Y$40)-1,"")</f>
        <v/>
      </c>
      <c r="U29" s="8" t="str">
        <f aca="false">IF(T29="","",IF(T29&lt;=$B$10,"Yes","No"))</f>
        <v/>
      </c>
      <c r="V29" s="13"/>
      <c r="Y29" s="14"/>
    </row>
    <row r="30" customFormat="false" ht="15" hidden="false" customHeight="false" outlineLevel="0" collapsed="false">
      <c r="A30" s="13"/>
      <c r="B30" s="14"/>
      <c r="C30" s="13"/>
      <c r="D30" s="13"/>
      <c r="E30" s="13"/>
      <c r="F30" s="13"/>
      <c r="G30" s="13"/>
      <c r="H30" s="13"/>
      <c r="I30" s="14"/>
      <c r="J30" s="14"/>
      <c r="K30" s="8" t="str">
        <f aca="false">IF(AND(ISNUMBER(B30),ISNUMBER(J30)),NETWORKDAYS(B30,J30,$Y$6:$Y$40)-1,"")</f>
        <v/>
      </c>
      <c r="L30" s="8" t="str">
        <f aca="false">IF(B30="","",IF(H30="Y",$B$8,$B$7))</f>
        <v/>
      </c>
      <c r="M30" s="8" t="str">
        <f aca="false">IF(K30="","",IF(K30&lt;=L30,"Yes","No"))</f>
        <v/>
      </c>
      <c r="N30" s="13"/>
      <c r="O30" s="13"/>
      <c r="P30" s="13"/>
      <c r="Q30" s="13"/>
      <c r="R30" s="14"/>
      <c r="S30" s="14"/>
      <c r="T30" s="8" t="str">
        <f aca="false">IF(AND(ISNUMBER(R30),ISNUMBER(S30)),NETWORKDAYS(R30,S30,$Y$6:$Y$40)-1,"")</f>
        <v/>
      </c>
      <c r="U30" s="8" t="str">
        <f aca="false">IF(T30="","",IF(T30&lt;=$B$10,"Yes","No"))</f>
        <v/>
      </c>
      <c r="V30" s="13"/>
      <c r="Y30" s="14"/>
    </row>
    <row r="31" customFormat="false" ht="15" hidden="false" customHeight="false" outlineLevel="0" collapsed="false">
      <c r="A31" s="13"/>
      <c r="B31" s="14"/>
      <c r="C31" s="13"/>
      <c r="D31" s="13"/>
      <c r="E31" s="13"/>
      <c r="F31" s="13"/>
      <c r="G31" s="13"/>
      <c r="H31" s="13"/>
      <c r="I31" s="14"/>
      <c r="J31" s="14"/>
      <c r="K31" s="8" t="str">
        <f aca="false">IF(AND(ISNUMBER(B31),ISNUMBER(J31)),NETWORKDAYS(B31,J31,$Y$6:$Y$40)-1,"")</f>
        <v/>
      </c>
      <c r="L31" s="8" t="str">
        <f aca="false">IF(B31="","",IF(H31="Y",$B$8,$B$7))</f>
        <v/>
      </c>
      <c r="M31" s="8" t="str">
        <f aca="false">IF(K31="","",IF(K31&lt;=L31,"Yes","No"))</f>
        <v/>
      </c>
      <c r="N31" s="13"/>
      <c r="O31" s="13"/>
      <c r="P31" s="13"/>
      <c r="Q31" s="13"/>
      <c r="R31" s="14"/>
      <c r="S31" s="14"/>
      <c r="T31" s="8" t="str">
        <f aca="false">IF(AND(ISNUMBER(R31),ISNUMBER(S31)),NETWORKDAYS(R31,S31,$Y$6:$Y$40)-1,"")</f>
        <v/>
      </c>
      <c r="U31" s="8" t="str">
        <f aca="false">IF(T31="","",IF(T31&lt;=$B$10,"Yes","No"))</f>
        <v/>
      </c>
      <c r="V31" s="13"/>
      <c r="Y31" s="14"/>
    </row>
    <row r="32" customFormat="false" ht="15" hidden="false" customHeight="false" outlineLevel="0" collapsed="false">
      <c r="A32" s="13"/>
      <c r="B32" s="14"/>
      <c r="C32" s="13"/>
      <c r="D32" s="13"/>
      <c r="E32" s="13"/>
      <c r="F32" s="13"/>
      <c r="G32" s="13"/>
      <c r="H32" s="13"/>
      <c r="I32" s="14"/>
      <c r="J32" s="14"/>
      <c r="K32" s="8" t="str">
        <f aca="false">IF(AND(ISNUMBER(B32),ISNUMBER(J32)),NETWORKDAYS(B32,J32,$Y$6:$Y$40)-1,"")</f>
        <v/>
      </c>
      <c r="L32" s="8" t="str">
        <f aca="false">IF(B32="","",IF(H32="Y",$B$8,$B$7))</f>
        <v/>
      </c>
      <c r="M32" s="8" t="str">
        <f aca="false">IF(K32="","",IF(K32&lt;=L32,"Yes","No"))</f>
        <v/>
      </c>
      <c r="N32" s="13"/>
      <c r="O32" s="13"/>
      <c r="P32" s="13"/>
      <c r="Q32" s="13"/>
      <c r="R32" s="14"/>
      <c r="S32" s="14"/>
      <c r="T32" s="8" t="str">
        <f aca="false">IF(AND(ISNUMBER(R32),ISNUMBER(S32)),NETWORKDAYS(R32,S32,$Y$6:$Y$40)-1,"")</f>
        <v/>
      </c>
      <c r="U32" s="8" t="str">
        <f aca="false">IF(T32="","",IF(T32&lt;=$B$10,"Yes","No"))</f>
        <v/>
      </c>
      <c r="V32" s="13"/>
      <c r="Y32" s="14"/>
    </row>
    <row r="33" customFormat="false" ht="15" hidden="false" customHeight="false" outlineLevel="0" collapsed="false">
      <c r="A33" s="13"/>
      <c r="B33" s="14"/>
      <c r="C33" s="13"/>
      <c r="D33" s="13"/>
      <c r="E33" s="13"/>
      <c r="F33" s="13"/>
      <c r="G33" s="13"/>
      <c r="H33" s="13"/>
      <c r="I33" s="14"/>
      <c r="J33" s="14"/>
      <c r="K33" s="8" t="str">
        <f aca="false">IF(AND(ISNUMBER(B33),ISNUMBER(J33)),NETWORKDAYS(B33,J33,$Y$6:$Y$40)-1,"")</f>
        <v/>
      </c>
      <c r="L33" s="8" t="str">
        <f aca="false">IF(B33="","",IF(H33="Y",$B$8,$B$7))</f>
        <v/>
      </c>
      <c r="M33" s="8" t="str">
        <f aca="false">IF(K33="","",IF(K33&lt;=L33,"Yes","No"))</f>
        <v/>
      </c>
      <c r="N33" s="13"/>
      <c r="O33" s="13"/>
      <c r="P33" s="13"/>
      <c r="Q33" s="13"/>
      <c r="R33" s="14"/>
      <c r="S33" s="14"/>
      <c r="T33" s="8" t="str">
        <f aca="false">IF(AND(ISNUMBER(R33),ISNUMBER(S33)),NETWORKDAYS(R33,S33,$Y$6:$Y$40)-1,"")</f>
        <v/>
      </c>
      <c r="U33" s="8" t="str">
        <f aca="false">IF(T33="","",IF(T33&lt;=$B$10,"Yes","No"))</f>
        <v/>
      </c>
      <c r="V33" s="13"/>
      <c r="Y33" s="14"/>
    </row>
    <row r="34" customFormat="false" ht="15" hidden="false" customHeight="false" outlineLevel="0" collapsed="false">
      <c r="A34" s="13"/>
      <c r="B34" s="14"/>
      <c r="C34" s="13"/>
      <c r="D34" s="13"/>
      <c r="E34" s="13"/>
      <c r="F34" s="13"/>
      <c r="G34" s="13"/>
      <c r="H34" s="13"/>
      <c r="I34" s="14"/>
      <c r="J34" s="14"/>
      <c r="K34" s="8" t="str">
        <f aca="false">IF(AND(ISNUMBER(B34),ISNUMBER(J34)),NETWORKDAYS(B34,J34,$Y$6:$Y$40)-1,"")</f>
        <v/>
      </c>
      <c r="L34" s="8" t="str">
        <f aca="false">IF(B34="","",IF(H34="Y",$B$8,$B$7))</f>
        <v/>
      </c>
      <c r="M34" s="8" t="str">
        <f aca="false">IF(K34="","",IF(K34&lt;=L34,"Yes","No"))</f>
        <v/>
      </c>
      <c r="N34" s="13"/>
      <c r="O34" s="13"/>
      <c r="P34" s="13"/>
      <c r="Q34" s="13"/>
      <c r="R34" s="14"/>
      <c r="S34" s="14"/>
      <c r="T34" s="8" t="str">
        <f aca="false">IF(AND(ISNUMBER(R34),ISNUMBER(S34)),NETWORKDAYS(R34,S34,$Y$6:$Y$40)-1,"")</f>
        <v/>
      </c>
      <c r="U34" s="8" t="str">
        <f aca="false">IF(T34="","",IF(T34&lt;=$B$10,"Yes","No"))</f>
        <v/>
      </c>
      <c r="V34" s="13"/>
      <c r="Y34" s="14"/>
    </row>
    <row r="35" customFormat="false" ht="15" hidden="false" customHeight="false" outlineLevel="0" collapsed="false">
      <c r="A35" s="13"/>
      <c r="B35" s="14"/>
      <c r="C35" s="13"/>
      <c r="D35" s="13"/>
      <c r="E35" s="13"/>
      <c r="F35" s="13"/>
      <c r="G35" s="13"/>
      <c r="H35" s="13"/>
      <c r="I35" s="14"/>
      <c r="J35" s="14"/>
      <c r="K35" s="8" t="str">
        <f aca="false">IF(AND(ISNUMBER(B35),ISNUMBER(J35)),NETWORKDAYS(B35,J35,$Y$6:$Y$40)-1,"")</f>
        <v/>
      </c>
      <c r="L35" s="8" t="str">
        <f aca="false">IF(B35="","",IF(H35="Y",$B$8,$B$7))</f>
        <v/>
      </c>
      <c r="M35" s="8" t="str">
        <f aca="false">IF(K35="","",IF(K35&lt;=L35,"Yes","No"))</f>
        <v/>
      </c>
      <c r="N35" s="13"/>
      <c r="O35" s="13"/>
      <c r="P35" s="13"/>
      <c r="Q35" s="13"/>
      <c r="R35" s="14"/>
      <c r="S35" s="14"/>
      <c r="T35" s="8" t="str">
        <f aca="false">IF(AND(ISNUMBER(R35),ISNUMBER(S35)),NETWORKDAYS(R35,S35,$Y$6:$Y$40)-1,"")</f>
        <v/>
      </c>
      <c r="U35" s="8" t="str">
        <f aca="false">IF(T35="","",IF(T35&lt;=$B$10,"Yes","No"))</f>
        <v/>
      </c>
      <c r="V35" s="13"/>
      <c r="Y35" s="14"/>
    </row>
    <row r="36" customFormat="false" ht="15" hidden="false" customHeight="false" outlineLevel="0" collapsed="false">
      <c r="A36" s="13"/>
      <c r="B36" s="14"/>
      <c r="C36" s="13"/>
      <c r="D36" s="13"/>
      <c r="E36" s="13"/>
      <c r="F36" s="13"/>
      <c r="G36" s="13"/>
      <c r="H36" s="13"/>
      <c r="I36" s="14"/>
      <c r="J36" s="14"/>
      <c r="K36" s="8" t="str">
        <f aca="false">IF(AND(ISNUMBER(B36),ISNUMBER(J36)),NETWORKDAYS(B36,J36,$Y$6:$Y$40)-1,"")</f>
        <v/>
      </c>
      <c r="L36" s="8" t="str">
        <f aca="false">IF(B36="","",IF(H36="Y",$B$8,$B$7))</f>
        <v/>
      </c>
      <c r="M36" s="8" t="str">
        <f aca="false">IF(K36="","",IF(K36&lt;=L36,"Yes","No"))</f>
        <v/>
      </c>
      <c r="N36" s="13"/>
      <c r="O36" s="13"/>
      <c r="P36" s="13"/>
      <c r="Q36" s="13"/>
      <c r="R36" s="14"/>
      <c r="S36" s="14"/>
      <c r="T36" s="8" t="str">
        <f aca="false">IF(AND(ISNUMBER(R36),ISNUMBER(S36)),NETWORKDAYS(R36,S36,$Y$6:$Y$40)-1,"")</f>
        <v/>
      </c>
      <c r="U36" s="8" t="str">
        <f aca="false">IF(T36="","",IF(T36&lt;=$B$10,"Yes","No"))</f>
        <v/>
      </c>
      <c r="V36" s="13"/>
      <c r="Y36" s="14"/>
    </row>
    <row r="37" customFormat="false" ht="15" hidden="false" customHeight="false" outlineLevel="0" collapsed="false">
      <c r="A37" s="13"/>
      <c r="B37" s="14"/>
      <c r="C37" s="13"/>
      <c r="D37" s="13"/>
      <c r="E37" s="13"/>
      <c r="F37" s="13"/>
      <c r="G37" s="13"/>
      <c r="H37" s="13"/>
      <c r="I37" s="14"/>
      <c r="J37" s="14"/>
      <c r="K37" s="8" t="str">
        <f aca="false">IF(AND(ISNUMBER(B37),ISNUMBER(J37)),NETWORKDAYS(B37,J37,$Y$6:$Y$40)-1,"")</f>
        <v/>
      </c>
      <c r="L37" s="8" t="str">
        <f aca="false">IF(B37="","",IF(H37="Y",$B$8,$B$7))</f>
        <v/>
      </c>
      <c r="M37" s="8" t="str">
        <f aca="false">IF(K37="","",IF(K37&lt;=L37,"Yes","No"))</f>
        <v/>
      </c>
      <c r="N37" s="13"/>
      <c r="O37" s="13"/>
      <c r="P37" s="13"/>
      <c r="Q37" s="13"/>
      <c r="R37" s="14"/>
      <c r="S37" s="14"/>
      <c r="T37" s="8" t="str">
        <f aca="false">IF(AND(ISNUMBER(R37),ISNUMBER(S37)),NETWORKDAYS(R37,S37,$Y$6:$Y$40)-1,"")</f>
        <v/>
      </c>
      <c r="U37" s="8" t="str">
        <f aca="false">IF(T37="","",IF(T37&lt;=$B$10,"Yes","No"))</f>
        <v/>
      </c>
      <c r="V37" s="13"/>
      <c r="Y37" s="14"/>
    </row>
    <row r="38" customFormat="false" ht="15" hidden="false" customHeight="false" outlineLevel="0" collapsed="false">
      <c r="A38" s="13"/>
      <c r="B38" s="14"/>
      <c r="C38" s="13"/>
      <c r="D38" s="13"/>
      <c r="E38" s="13"/>
      <c r="F38" s="13"/>
      <c r="G38" s="13"/>
      <c r="H38" s="13"/>
      <c r="I38" s="14"/>
      <c r="J38" s="14"/>
      <c r="K38" s="8" t="str">
        <f aca="false">IF(AND(ISNUMBER(B38),ISNUMBER(J38)),NETWORKDAYS(B38,J38,$Y$6:$Y$40)-1,"")</f>
        <v/>
      </c>
      <c r="L38" s="8" t="str">
        <f aca="false">IF(B38="","",IF(H38="Y",$B$8,$B$7))</f>
        <v/>
      </c>
      <c r="M38" s="8" t="str">
        <f aca="false">IF(K38="","",IF(K38&lt;=L38,"Yes","No"))</f>
        <v/>
      </c>
      <c r="N38" s="13"/>
      <c r="O38" s="13"/>
      <c r="P38" s="13"/>
      <c r="Q38" s="13"/>
      <c r="R38" s="14"/>
      <c r="S38" s="14"/>
      <c r="T38" s="8" t="str">
        <f aca="false">IF(AND(ISNUMBER(R38),ISNUMBER(S38)),NETWORKDAYS(R38,S38,$Y$6:$Y$40)-1,"")</f>
        <v/>
      </c>
      <c r="U38" s="8" t="str">
        <f aca="false">IF(T38="","",IF(T38&lt;=$B$10,"Yes","No"))</f>
        <v/>
      </c>
      <c r="V38" s="13"/>
      <c r="Y38" s="14"/>
    </row>
    <row r="39" customFormat="false" ht="15" hidden="false" customHeight="false" outlineLevel="0" collapsed="false">
      <c r="A39" s="13"/>
      <c r="B39" s="14"/>
      <c r="C39" s="13"/>
      <c r="D39" s="13"/>
      <c r="E39" s="13"/>
      <c r="F39" s="13"/>
      <c r="G39" s="13"/>
      <c r="H39" s="13"/>
      <c r="I39" s="14"/>
      <c r="J39" s="14"/>
      <c r="K39" s="8" t="str">
        <f aca="false">IF(AND(ISNUMBER(B39),ISNUMBER(J39)),NETWORKDAYS(B39,J39,$Y$6:$Y$40)-1,"")</f>
        <v/>
      </c>
      <c r="L39" s="8" t="str">
        <f aca="false">IF(B39="","",IF(H39="Y",$B$8,$B$7))</f>
        <v/>
      </c>
      <c r="M39" s="8" t="str">
        <f aca="false">IF(K39="","",IF(K39&lt;=L39,"Yes","No"))</f>
        <v/>
      </c>
      <c r="N39" s="13"/>
      <c r="O39" s="13"/>
      <c r="P39" s="13"/>
      <c r="Q39" s="13"/>
      <c r="R39" s="14"/>
      <c r="S39" s="14"/>
      <c r="T39" s="8" t="str">
        <f aca="false">IF(AND(ISNUMBER(R39),ISNUMBER(S39)),NETWORKDAYS(R39,S39,$Y$6:$Y$40)-1,"")</f>
        <v/>
      </c>
      <c r="U39" s="8" t="str">
        <f aca="false">IF(T39="","",IF(T39&lt;=$B$10,"Yes","No"))</f>
        <v/>
      </c>
      <c r="V39" s="13"/>
      <c r="Y39" s="14"/>
    </row>
    <row r="40" customFormat="false" ht="15" hidden="false" customHeight="false" outlineLevel="0" collapsed="false">
      <c r="A40" s="13"/>
      <c r="B40" s="14"/>
      <c r="C40" s="13"/>
      <c r="D40" s="13"/>
      <c r="E40" s="13"/>
      <c r="F40" s="13"/>
      <c r="G40" s="13"/>
      <c r="H40" s="13"/>
      <c r="I40" s="14"/>
      <c r="J40" s="14"/>
      <c r="K40" s="8" t="str">
        <f aca="false">IF(AND(ISNUMBER(B40),ISNUMBER(J40)),NETWORKDAYS(B40,J40,$Y$6:$Y$40)-1,"")</f>
        <v/>
      </c>
      <c r="L40" s="8" t="str">
        <f aca="false">IF(B40="","",IF(H40="Y",$B$8,$B$7))</f>
        <v/>
      </c>
      <c r="M40" s="8" t="str">
        <f aca="false">IF(K40="","",IF(K40&lt;=L40,"Yes","No"))</f>
        <v/>
      </c>
      <c r="N40" s="13"/>
      <c r="O40" s="13"/>
      <c r="P40" s="13"/>
      <c r="Q40" s="13"/>
      <c r="R40" s="14"/>
      <c r="S40" s="14"/>
      <c r="T40" s="8" t="str">
        <f aca="false">IF(AND(ISNUMBER(R40),ISNUMBER(S40)),NETWORKDAYS(R40,S40,$Y$6:$Y$40)-1,"")</f>
        <v/>
      </c>
      <c r="U40" s="8" t="str">
        <f aca="false">IF(T40="","",IF(T40&lt;=$B$10,"Yes","No"))</f>
        <v/>
      </c>
      <c r="V40" s="13"/>
      <c r="Y40" s="14"/>
    </row>
    <row r="41" customFormat="false" ht="15" hidden="false" customHeight="false" outlineLevel="0" collapsed="false">
      <c r="A41" s="13"/>
      <c r="B41" s="14"/>
      <c r="C41" s="13"/>
      <c r="D41" s="13"/>
      <c r="E41" s="13"/>
      <c r="F41" s="13"/>
      <c r="G41" s="13"/>
      <c r="H41" s="13"/>
      <c r="I41" s="14"/>
      <c r="J41" s="14"/>
      <c r="K41" s="8" t="str">
        <f aca="false">IF(AND(ISNUMBER(B41),ISNUMBER(J41)),NETWORKDAYS(B41,J41,$Y$6:$Y$40)-1,"")</f>
        <v/>
      </c>
      <c r="L41" s="8" t="str">
        <f aca="false">IF(B41="","",IF(H41="Y",$B$8,$B$7))</f>
        <v/>
      </c>
      <c r="M41" s="8" t="str">
        <f aca="false">IF(K41="","",IF(K41&lt;=L41,"Yes","No"))</f>
        <v/>
      </c>
      <c r="N41" s="13"/>
      <c r="O41" s="13"/>
      <c r="P41" s="13"/>
      <c r="Q41" s="13"/>
      <c r="R41" s="14"/>
      <c r="S41" s="14"/>
      <c r="T41" s="8" t="str">
        <f aca="false">IF(AND(ISNUMBER(R41),ISNUMBER(S41)),NETWORKDAYS(R41,S41,$Y$6:$Y$40)-1,"")</f>
        <v/>
      </c>
      <c r="U41" s="8" t="str">
        <f aca="false">IF(T41="","",IF(T41&lt;=$B$10,"Yes","No"))</f>
        <v/>
      </c>
      <c r="V41" s="13"/>
    </row>
    <row r="42" customFormat="false" ht="15" hidden="false" customHeight="false" outlineLevel="0" collapsed="false">
      <c r="A42" s="13"/>
      <c r="B42" s="14"/>
      <c r="C42" s="13"/>
      <c r="D42" s="13"/>
      <c r="E42" s="13"/>
      <c r="F42" s="13"/>
      <c r="G42" s="13"/>
      <c r="H42" s="13"/>
      <c r="I42" s="14"/>
      <c r="J42" s="14"/>
      <c r="K42" s="8" t="str">
        <f aca="false">IF(AND(ISNUMBER(B42),ISNUMBER(J42)),NETWORKDAYS(B42,J42,$Y$6:$Y$40)-1,"")</f>
        <v/>
      </c>
      <c r="L42" s="8" t="str">
        <f aca="false">IF(B42="","",IF(H42="Y",$B$8,$B$7))</f>
        <v/>
      </c>
      <c r="M42" s="8" t="str">
        <f aca="false">IF(K42="","",IF(K42&lt;=L42,"Yes","No"))</f>
        <v/>
      </c>
      <c r="N42" s="13"/>
      <c r="O42" s="13"/>
      <c r="P42" s="13"/>
      <c r="Q42" s="13"/>
      <c r="R42" s="14"/>
      <c r="S42" s="14"/>
      <c r="T42" s="8" t="str">
        <f aca="false">IF(AND(ISNUMBER(R42),ISNUMBER(S42)),NETWORKDAYS(R42,S42,$Y$6:$Y$40)-1,"")</f>
        <v/>
      </c>
      <c r="U42" s="8" t="str">
        <f aca="false">IF(T42="","",IF(T42&lt;=$B$10,"Yes","No"))</f>
        <v/>
      </c>
      <c r="V42" s="13"/>
    </row>
    <row r="43" customFormat="false" ht="15" hidden="false" customHeight="false" outlineLevel="0" collapsed="false">
      <c r="A43" s="13"/>
      <c r="B43" s="14"/>
      <c r="C43" s="13"/>
      <c r="D43" s="13"/>
      <c r="E43" s="13"/>
      <c r="F43" s="13"/>
      <c r="G43" s="13"/>
      <c r="H43" s="13"/>
      <c r="I43" s="14"/>
      <c r="J43" s="14"/>
      <c r="K43" s="8" t="str">
        <f aca="false">IF(AND(ISNUMBER(B43),ISNUMBER(J43)),NETWORKDAYS(B43,J43,$Y$6:$Y$40)-1,"")</f>
        <v/>
      </c>
      <c r="L43" s="8" t="str">
        <f aca="false">IF(B43="","",IF(H43="Y",$B$8,$B$7))</f>
        <v/>
      </c>
      <c r="M43" s="8" t="str">
        <f aca="false">IF(K43="","",IF(K43&lt;=L43,"Yes","No"))</f>
        <v/>
      </c>
      <c r="N43" s="13"/>
      <c r="O43" s="13"/>
      <c r="P43" s="13"/>
      <c r="Q43" s="13"/>
      <c r="R43" s="14"/>
      <c r="S43" s="14"/>
      <c r="T43" s="8" t="str">
        <f aca="false">IF(AND(ISNUMBER(R43),ISNUMBER(S43)),NETWORKDAYS(R43,S43,$Y$6:$Y$40)-1,"")</f>
        <v/>
      </c>
      <c r="U43" s="8" t="str">
        <f aca="false">IF(T43="","",IF(T43&lt;=$B$10,"Yes","No"))</f>
        <v/>
      </c>
      <c r="V43" s="13"/>
    </row>
    <row r="44" customFormat="false" ht="15" hidden="false" customHeight="false" outlineLevel="0" collapsed="false">
      <c r="A44" s="13"/>
      <c r="B44" s="14"/>
      <c r="C44" s="13"/>
      <c r="D44" s="13"/>
      <c r="E44" s="13"/>
      <c r="F44" s="13"/>
      <c r="G44" s="13"/>
      <c r="H44" s="13"/>
      <c r="I44" s="14"/>
      <c r="J44" s="14"/>
      <c r="K44" s="8" t="str">
        <f aca="false">IF(AND(ISNUMBER(B44),ISNUMBER(J44)),NETWORKDAYS(B44,J44,$Y$6:$Y$40)-1,"")</f>
        <v/>
      </c>
      <c r="L44" s="8" t="str">
        <f aca="false">IF(B44="","",IF(H44="Y",$B$8,$B$7))</f>
        <v/>
      </c>
      <c r="M44" s="8" t="str">
        <f aca="false">IF(K44="","",IF(K44&lt;=L44,"Yes","No"))</f>
        <v/>
      </c>
      <c r="N44" s="13"/>
      <c r="O44" s="13"/>
      <c r="P44" s="13"/>
      <c r="Q44" s="13"/>
      <c r="R44" s="14"/>
      <c r="S44" s="14"/>
      <c r="T44" s="8" t="str">
        <f aca="false">IF(AND(ISNUMBER(R44),ISNUMBER(S44)),NETWORKDAYS(R44,S44,$Y$6:$Y$40)-1,"")</f>
        <v/>
      </c>
      <c r="U44" s="8" t="str">
        <f aca="false">IF(T44="","",IF(T44&lt;=$B$10,"Yes","No"))</f>
        <v/>
      </c>
      <c r="V44" s="13"/>
    </row>
    <row r="45" customFormat="false" ht="15" hidden="false" customHeight="false" outlineLevel="0" collapsed="false">
      <c r="A45" s="13"/>
      <c r="B45" s="14"/>
      <c r="C45" s="13"/>
      <c r="D45" s="13"/>
      <c r="E45" s="13"/>
      <c r="F45" s="13"/>
      <c r="G45" s="13"/>
      <c r="H45" s="13"/>
      <c r="I45" s="14"/>
      <c r="J45" s="14"/>
      <c r="K45" s="8" t="str">
        <f aca="false">IF(AND(ISNUMBER(B45),ISNUMBER(J45)),NETWORKDAYS(B45,J45,$Y$6:$Y$40)-1,"")</f>
        <v/>
      </c>
      <c r="L45" s="8" t="str">
        <f aca="false">IF(B45="","",IF(H45="Y",$B$8,$B$7))</f>
        <v/>
      </c>
      <c r="M45" s="8" t="str">
        <f aca="false">IF(K45="","",IF(K45&lt;=L45,"Yes","No"))</f>
        <v/>
      </c>
      <c r="N45" s="13"/>
      <c r="O45" s="13"/>
      <c r="P45" s="13"/>
      <c r="Q45" s="13"/>
      <c r="R45" s="14"/>
      <c r="S45" s="14"/>
      <c r="T45" s="8" t="str">
        <f aca="false">IF(AND(ISNUMBER(R45),ISNUMBER(S45)),NETWORKDAYS(R45,S45,$Y$6:$Y$40)-1,"")</f>
        <v/>
      </c>
      <c r="U45" s="8" t="str">
        <f aca="false">IF(T45="","",IF(T45&lt;=$B$10,"Yes","No"))</f>
        <v/>
      </c>
      <c r="V45" s="13"/>
    </row>
    <row r="46" customFormat="false" ht="15" hidden="false" customHeight="false" outlineLevel="0" collapsed="false">
      <c r="A46" s="13"/>
      <c r="B46" s="14"/>
      <c r="C46" s="13"/>
      <c r="D46" s="13"/>
      <c r="E46" s="13"/>
      <c r="F46" s="13"/>
      <c r="G46" s="13"/>
      <c r="H46" s="13"/>
      <c r="I46" s="14"/>
      <c r="J46" s="14"/>
      <c r="K46" s="8" t="str">
        <f aca="false">IF(AND(ISNUMBER(B46),ISNUMBER(J46)),NETWORKDAYS(B46,J46,$Y$6:$Y$40)-1,"")</f>
        <v/>
      </c>
      <c r="L46" s="8" t="str">
        <f aca="false">IF(B46="","",IF(H46="Y",$B$8,$B$7))</f>
        <v/>
      </c>
      <c r="M46" s="8" t="str">
        <f aca="false">IF(K46="","",IF(K46&lt;=L46,"Yes","No"))</f>
        <v/>
      </c>
      <c r="N46" s="13"/>
      <c r="O46" s="13"/>
      <c r="P46" s="13"/>
      <c r="Q46" s="13"/>
      <c r="R46" s="14"/>
      <c r="S46" s="14"/>
      <c r="T46" s="8" t="str">
        <f aca="false">IF(AND(ISNUMBER(R46),ISNUMBER(S46)),NETWORKDAYS(R46,S46,$Y$6:$Y$40)-1,"")</f>
        <v/>
      </c>
      <c r="U46" s="8" t="str">
        <f aca="false">IF(T46="","",IF(T46&lt;=$B$10,"Yes","No"))</f>
        <v/>
      </c>
      <c r="V46" s="13"/>
    </row>
    <row r="47" customFormat="false" ht="15" hidden="false" customHeight="false" outlineLevel="0" collapsed="false">
      <c r="A47" s="13"/>
      <c r="B47" s="14"/>
      <c r="C47" s="13"/>
      <c r="D47" s="13"/>
      <c r="E47" s="13"/>
      <c r="F47" s="13"/>
      <c r="G47" s="13"/>
      <c r="H47" s="13"/>
      <c r="I47" s="14"/>
      <c r="J47" s="14"/>
      <c r="K47" s="8" t="str">
        <f aca="false">IF(AND(ISNUMBER(B47),ISNUMBER(J47)),NETWORKDAYS(B47,J47,$Y$6:$Y$40)-1,"")</f>
        <v/>
      </c>
      <c r="L47" s="8" t="str">
        <f aca="false">IF(B47="","",IF(H47="Y",$B$8,$B$7))</f>
        <v/>
      </c>
      <c r="M47" s="8" t="str">
        <f aca="false">IF(K47="","",IF(K47&lt;=L47,"Yes","No"))</f>
        <v/>
      </c>
      <c r="N47" s="13"/>
      <c r="O47" s="13"/>
      <c r="P47" s="13"/>
      <c r="Q47" s="13"/>
      <c r="R47" s="14"/>
      <c r="S47" s="14"/>
      <c r="T47" s="8" t="str">
        <f aca="false">IF(AND(ISNUMBER(R47),ISNUMBER(S47)),NETWORKDAYS(R47,S47,$Y$6:$Y$40)-1,"")</f>
        <v/>
      </c>
      <c r="U47" s="8" t="str">
        <f aca="false">IF(T47="","",IF(T47&lt;=$B$10,"Yes","No"))</f>
        <v/>
      </c>
      <c r="V47" s="13"/>
    </row>
    <row r="48" customFormat="false" ht="15" hidden="false" customHeight="false" outlineLevel="0" collapsed="false">
      <c r="A48" s="13"/>
      <c r="B48" s="14"/>
      <c r="C48" s="13"/>
      <c r="D48" s="13"/>
      <c r="E48" s="13"/>
      <c r="F48" s="13"/>
      <c r="G48" s="13"/>
      <c r="H48" s="13"/>
      <c r="I48" s="14"/>
      <c r="J48" s="14"/>
      <c r="K48" s="8" t="str">
        <f aca="false">IF(AND(ISNUMBER(B48),ISNUMBER(J48)),NETWORKDAYS(B48,J48,$Y$6:$Y$40)-1,"")</f>
        <v/>
      </c>
      <c r="L48" s="8" t="str">
        <f aca="false">IF(B48="","",IF(H48="Y",$B$8,$B$7))</f>
        <v/>
      </c>
      <c r="M48" s="8" t="str">
        <f aca="false">IF(K48="","",IF(K48&lt;=L48,"Yes","No"))</f>
        <v/>
      </c>
      <c r="N48" s="13"/>
      <c r="O48" s="13"/>
      <c r="P48" s="13"/>
      <c r="Q48" s="13"/>
      <c r="R48" s="14"/>
      <c r="S48" s="14"/>
      <c r="T48" s="8" t="str">
        <f aca="false">IF(AND(ISNUMBER(R48),ISNUMBER(S48)),NETWORKDAYS(R48,S48,$Y$6:$Y$40)-1,"")</f>
        <v/>
      </c>
      <c r="U48" s="8" t="str">
        <f aca="false">IF(T48="","",IF(T48&lt;=$B$10,"Yes","No"))</f>
        <v/>
      </c>
      <c r="V48" s="13"/>
    </row>
    <row r="49" customFormat="false" ht="15" hidden="false" customHeight="false" outlineLevel="0" collapsed="false">
      <c r="A49" s="13"/>
      <c r="B49" s="14"/>
      <c r="C49" s="13"/>
      <c r="D49" s="13"/>
      <c r="E49" s="13"/>
      <c r="F49" s="13"/>
      <c r="G49" s="13"/>
      <c r="H49" s="13"/>
      <c r="I49" s="14"/>
      <c r="J49" s="14"/>
      <c r="K49" s="8" t="str">
        <f aca="false">IF(AND(ISNUMBER(B49),ISNUMBER(J49)),NETWORKDAYS(B49,J49,$Y$6:$Y$40)-1,"")</f>
        <v/>
      </c>
      <c r="L49" s="8" t="str">
        <f aca="false">IF(B49="","",IF(H49="Y",$B$8,$B$7))</f>
        <v/>
      </c>
      <c r="M49" s="8" t="str">
        <f aca="false">IF(K49="","",IF(K49&lt;=L49,"Yes","No"))</f>
        <v/>
      </c>
      <c r="N49" s="13"/>
      <c r="O49" s="13"/>
      <c r="P49" s="13"/>
      <c r="Q49" s="13"/>
      <c r="R49" s="14"/>
      <c r="S49" s="14"/>
      <c r="T49" s="8" t="str">
        <f aca="false">IF(AND(ISNUMBER(R49),ISNUMBER(S49)),NETWORKDAYS(R49,S49,$Y$6:$Y$40)-1,"")</f>
        <v/>
      </c>
      <c r="U49" s="8" t="str">
        <f aca="false">IF(T49="","",IF(T49&lt;=$B$10,"Yes","No"))</f>
        <v/>
      </c>
      <c r="V49" s="13"/>
    </row>
    <row r="50" customFormat="false" ht="15" hidden="false" customHeight="false" outlineLevel="0" collapsed="false">
      <c r="A50" s="13"/>
      <c r="B50" s="14"/>
      <c r="C50" s="13"/>
      <c r="D50" s="13"/>
      <c r="E50" s="13"/>
      <c r="F50" s="13"/>
      <c r="G50" s="13"/>
      <c r="H50" s="13"/>
      <c r="I50" s="14"/>
      <c r="J50" s="14"/>
      <c r="K50" s="8" t="str">
        <f aca="false">IF(AND(ISNUMBER(B50),ISNUMBER(J50)),NETWORKDAYS(B50,J50,$Y$6:$Y$40)-1,"")</f>
        <v/>
      </c>
      <c r="L50" s="8" t="str">
        <f aca="false">IF(B50="","",IF(H50="Y",$B$8,$B$7))</f>
        <v/>
      </c>
      <c r="M50" s="8" t="str">
        <f aca="false">IF(K50="","",IF(K50&lt;=L50,"Yes","No"))</f>
        <v/>
      </c>
      <c r="N50" s="13"/>
      <c r="O50" s="13"/>
      <c r="P50" s="13"/>
      <c r="Q50" s="13"/>
      <c r="R50" s="14"/>
      <c r="S50" s="14"/>
      <c r="T50" s="8" t="str">
        <f aca="false">IF(AND(ISNUMBER(R50),ISNUMBER(S50)),NETWORKDAYS(R50,S50,$Y$6:$Y$40)-1,"")</f>
        <v/>
      </c>
      <c r="U50" s="8" t="str">
        <f aca="false">IF(T50="","",IF(T50&lt;=$B$10,"Yes","No"))</f>
        <v/>
      </c>
      <c r="V50" s="13"/>
    </row>
    <row r="51" customFormat="false" ht="15" hidden="false" customHeight="false" outlineLevel="0" collapsed="false">
      <c r="A51" s="13"/>
      <c r="B51" s="14"/>
      <c r="C51" s="13"/>
      <c r="D51" s="13"/>
      <c r="E51" s="13"/>
      <c r="F51" s="13"/>
      <c r="G51" s="13"/>
      <c r="H51" s="13"/>
      <c r="I51" s="14"/>
      <c r="J51" s="14"/>
      <c r="K51" s="8" t="str">
        <f aca="false">IF(AND(ISNUMBER(B51),ISNUMBER(J51)),NETWORKDAYS(B51,J51,$Y$6:$Y$40)-1,"")</f>
        <v/>
      </c>
      <c r="L51" s="8" t="str">
        <f aca="false">IF(B51="","",IF(H51="Y",$B$8,$B$7))</f>
        <v/>
      </c>
      <c r="M51" s="8" t="str">
        <f aca="false">IF(K51="","",IF(K51&lt;=L51,"Yes","No"))</f>
        <v/>
      </c>
      <c r="N51" s="13"/>
      <c r="O51" s="13"/>
      <c r="P51" s="13"/>
      <c r="Q51" s="13"/>
      <c r="R51" s="14"/>
      <c r="S51" s="14"/>
      <c r="T51" s="8" t="str">
        <f aca="false">IF(AND(ISNUMBER(R51),ISNUMBER(S51)),NETWORKDAYS(R51,S51,$Y$6:$Y$40)-1,"")</f>
        <v/>
      </c>
      <c r="U51" s="8" t="str">
        <f aca="false">IF(T51="","",IF(T51&lt;=$B$10,"Yes","No"))</f>
        <v/>
      </c>
      <c r="V51" s="13"/>
    </row>
    <row r="52" customFormat="false" ht="15" hidden="false" customHeight="false" outlineLevel="0" collapsed="false">
      <c r="A52" s="13"/>
      <c r="B52" s="14"/>
      <c r="C52" s="13"/>
      <c r="D52" s="13"/>
      <c r="E52" s="13"/>
      <c r="F52" s="13"/>
      <c r="G52" s="13"/>
      <c r="H52" s="13"/>
      <c r="I52" s="14"/>
      <c r="J52" s="14"/>
      <c r="K52" s="8" t="str">
        <f aca="false">IF(AND(ISNUMBER(B52),ISNUMBER(J52)),NETWORKDAYS(B52,J52,$Y$6:$Y$40)-1,"")</f>
        <v/>
      </c>
      <c r="L52" s="8" t="str">
        <f aca="false">IF(B52="","",IF(H52="Y",$B$8,$B$7))</f>
        <v/>
      </c>
      <c r="M52" s="8" t="str">
        <f aca="false">IF(K52="","",IF(K52&lt;=L52,"Yes","No"))</f>
        <v/>
      </c>
      <c r="N52" s="13"/>
      <c r="O52" s="13"/>
      <c r="P52" s="13"/>
      <c r="Q52" s="13"/>
      <c r="R52" s="14"/>
      <c r="S52" s="14"/>
      <c r="T52" s="8" t="str">
        <f aca="false">IF(AND(ISNUMBER(R52),ISNUMBER(S52)),NETWORKDAYS(R52,S52,$Y$6:$Y$40)-1,"")</f>
        <v/>
      </c>
      <c r="U52" s="8" t="str">
        <f aca="false">IF(T52="","",IF(T52&lt;=$B$10,"Yes","No"))</f>
        <v/>
      </c>
      <c r="V52" s="13"/>
    </row>
    <row r="53" customFormat="false" ht="15" hidden="false" customHeight="false" outlineLevel="0" collapsed="false">
      <c r="A53" s="13"/>
      <c r="B53" s="14"/>
      <c r="C53" s="13"/>
      <c r="D53" s="13"/>
      <c r="E53" s="13"/>
      <c r="F53" s="13"/>
      <c r="G53" s="13"/>
      <c r="H53" s="13"/>
      <c r="I53" s="14"/>
      <c r="J53" s="14"/>
      <c r="K53" s="8" t="str">
        <f aca="false">IF(AND(ISNUMBER(B53),ISNUMBER(J53)),NETWORKDAYS(B53,J53,$Y$6:$Y$40)-1,"")</f>
        <v/>
      </c>
      <c r="L53" s="8" t="str">
        <f aca="false">IF(B53="","",IF(H53="Y",$B$8,$B$7))</f>
        <v/>
      </c>
      <c r="M53" s="8" t="str">
        <f aca="false">IF(K53="","",IF(K53&lt;=L53,"Yes","No"))</f>
        <v/>
      </c>
      <c r="N53" s="13"/>
      <c r="O53" s="13"/>
      <c r="P53" s="13"/>
      <c r="Q53" s="13"/>
      <c r="R53" s="14"/>
      <c r="S53" s="14"/>
      <c r="T53" s="8" t="str">
        <f aca="false">IF(AND(ISNUMBER(R53),ISNUMBER(S53)),NETWORKDAYS(R53,S53,$Y$6:$Y$40)-1,"")</f>
        <v/>
      </c>
      <c r="U53" s="8" t="str">
        <f aca="false">IF(T53="","",IF(T53&lt;=$B$10,"Yes","No"))</f>
        <v/>
      </c>
      <c r="V53" s="13"/>
    </row>
    <row r="54" customFormat="false" ht="15" hidden="false" customHeight="false" outlineLevel="0" collapsed="false">
      <c r="A54" s="13"/>
      <c r="B54" s="14"/>
      <c r="C54" s="13"/>
      <c r="D54" s="13"/>
      <c r="E54" s="13"/>
      <c r="F54" s="13"/>
      <c r="G54" s="13"/>
      <c r="H54" s="13"/>
      <c r="I54" s="14"/>
      <c r="J54" s="14"/>
      <c r="K54" s="8" t="str">
        <f aca="false">IF(AND(ISNUMBER(B54),ISNUMBER(J54)),NETWORKDAYS(B54,J54,$Y$6:$Y$40)-1,"")</f>
        <v/>
      </c>
      <c r="L54" s="8" t="str">
        <f aca="false">IF(B54="","",IF(H54="Y",$B$8,$B$7))</f>
        <v/>
      </c>
      <c r="M54" s="8" t="str">
        <f aca="false">IF(K54="","",IF(K54&lt;=L54,"Yes","No"))</f>
        <v/>
      </c>
      <c r="N54" s="13"/>
      <c r="O54" s="13"/>
      <c r="P54" s="13"/>
      <c r="Q54" s="13"/>
      <c r="R54" s="14"/>
      <c r="S54" s="14"/>
      <c r="T54" s="8" t="str">
        <f aca="false">IF(AND(ISNUMBER(R54),ISNUMBER(S54)),NETWORKDAYS(R54,S54,$Y$6:$Y$40)-1,"")</f>
        <v/>
      </c>
      <c r="U54" s="8" t="str">
        <f aca="false">IF(T54="","",IF(T54&lt;=$B$10,"Yes","No"))</f>
        <v/>
      </c>
      <c r="V54" s="13"/>
    </row>
    <row r="55" customFormat="false" ht="15" hidden="false" customHeight="false" outlineLevel="0" collapsed="false">
      <c r="A55" s="13"/>
      <c r="B55" s="14"/>
      <c r="C55" s="13"/>
      <c r="D55" s="13"/>
      <c r="E55" s="13"/>
      <c r="F55" s="13"/>
      <c r="G55" s="13"/>
      <c r="H55" s="13"/>
      <c r="I55" s="14"/>
      <c r="J55" s="14"/>
      <c r="K55" s="8" t="str">
        <f aca="false">IF(AND(ISNUMBER(B55),ISNUMBER(J55)),NETWORKDAYS(B55,J55,$Y$6:$Y$40)-1,"")</f>
        <v/>
      </c>
      <c r="L55" s="8" t="str">
        <f aca="false">IF(B55="","",IF(H55="Y",$B$8,$B$7))</f>
        <v/>
      </c>
      <c r="M55" s="8" t="str">
        <f aca="false">IF(K55="","",IF(K55&lt;=L55,"Yes","No"))</f>
        <v/>
      </c>
      <c r="N55" s="13"/>
      <c r="O55" s="13"/>
      <c r="P55" s="13"/>
      <c r="Q55" s="13"/>
      <c r="R55" s="14"/>
      <c r="S55" s="14"/>
      <c r="T55" s="8" t="str">
        <f aca="false">IF(AND(ISNUMBER(R55),ISNUMBER(S55)),NETWORKDAYS(R55,S55,$Y$6:$Y$40)-1,"")</f>
        <v/>
      </c>
      <c r="U55" s="8" t="str">
        <f aca="false">IF(T55="","",IF(T55&lt;=$B$10,"Yes","No"))</f>
        <v/>
      </c>
      <c r="V55" s="13"/>
    </row>
    <row r="56" customFormat="false" ht="15" hidden="false" customHeight="false" outlineLevel="0" collapsed="false">
      <c r="A56" s="13"/>
      <c r="B56" s="14"/>
      <c r="C56" s="13"/>
      <c r="D56" s="13"/>
      <c r="E56" s="13"/>
      <c r="F56" s="13"/>
      <c r="G56" s="13"/>
      <c r="H56" s="13"/>
      <c r="I56" s="14"/>
      <c r="J56" s="14"/>
      <c r="K56" s="8" t="str">
        <f aca="false">IF(AND(ISNUMBER(B56),ISNUMBER(J56)),NETWORKDAYS(B56,J56,$Y$6:$Y$40)-1,"")</f>
        <v/>
      </c>
      <c r="L56" s="8" t="str">
        <f aca="false">IF(B56="","",IF(H56="Y",$B$8,$B$7))</f>
        <v/>
      </c>
      <c r="M56" s="8" t="str">
        <f aca="false">IF(K56="","",IF(K56&lt;=L56,"Yes","No"))</f>
        <v/>
      </c>
      <c r="N56" s="13"/>
      <c r="O56" s="13"/>
      <c r="P56" s="13"/>
      <c r="Q56" s="13"/>
      <c r="R56" s="14"/>
      <c r="S56" s="14"/>
      <c r="T56" s="8" t="str">
        <f aca="false">IF(AND(ISNUMBER(R56),ISNUMBER(S56)),NETWORKDAYS(R56,S56,$Y$6:$Y$40)-1,"")</f>
        <v/>
      </c>
      <c r="U56" s="8" t="str">
        <f aca="false">IF(T56="","",IF(T56&lt;=$B$10,"Yes","No"))</f>
        <v/>
      </c>
      <c r="V56" s="13"/>
    </row>
    <row r="57" customFormat="false" ht="15" hidden="false" customHeight="false" outlineLevel="0" collapsed="false">
      <c r="A57" s="13"/>
      <c r="B57" s="14"/>
      <c r="C57" s="13"/>
      <c r="D57" s="13"/>
      <c r="E57" s="13"/>
      <c r="F57" s="13"/>
      <c r="G57" s="13"/>
      <c r="H57" s="13"/>
      <c r="I57" s="14"/>
      <c r="J57" s="14"/>
      <c r="K57" s="8" t="str">
        <f aca="false">IF(AND(ISNUMBER(B57),ISNUMBER(J57)),NETWORKDAYS(B57,J57,$Y$6:$Y$40)-1,"")</f>
        <v/>
      </c>
      <c r="L57" s="8" t="str">
        <f aca="false">IF(B57="","",IF(H57="Y",$B$8,$B$7))</f>
        <v/>
      </c>
      <c r="M57" s="8" t="str">
        <f aca="false">IF(K57="","",IF(K57&lt;=L57,"Yes","No"))</f>
        <v/>
      </c>
      <c r="N57" s="13"/>
      <c r="O57" s="13"/>
      <c r="P57" s="13"/>
      <c r="Q57" s="13"/>
      <c r="R57" s="14"/>
      <c r="S57" s="14"/>
      <c r="T57" s="8" t="str">
        <f aca="false">IF(AND(ISNUMBER(R57),ISNUMBER(S57)),NETWORKDAYS(R57,S57,$Y$6:$Y$40)-1,"")</f>
        <v/>
      </c>
      <c r="U57" s="8" t="str">
        <f aca="false">IF(T57="","",IF(T57&lt;=$B$10,"Yes","No"))</f>
        <v/>
      </c>
      <c r="V57" s="13"/>
    </row>
    <row r="58" customFormat="false" ht="15" hidden="false" customHeight="false" outlineLevel="0" collapsed="false">
      <c r="A58" s="13"/>
      <c r="B58" s="14"/>
      <c r="C58" s="13"/>
      <c r="D58" s="13"/>
      <c r="E58" s="13"/>
      <c r="F58" s="13"/>
      <c r="G58" s="13"/>
      <c r="H58" s="13"/>
      <c r="I58" s="14"/>
      <c r="J58" s="14"/>
      <c r="K58" s="8" t="str">
        <f aca="false">IF(AND(ISNUMBER(B58),ISNUMBER(J58)),NETWORKDAYS(B58,J58,$Y$6:$Y$40)-1,"")</f>
        <v/>
      </c>
      <c r="L58" s="8" t="str">
        <f aca="false">IF(B58="","",IF(H58="Y",$B$8,$B$7))</f>
        <v/>
      </c>
      <c r="M58" s="8" t="str">
        <f aca="false">IF(K58="","",IF(K58&lt;=L58,"Yes","No"))</f>
        <v/>
      </c>
      <c r="N58" s="13"/>
      <c r="O58" s="13"/>
      <c r="P58" s="13"/>
      <c r="Q58" s="13"/>
      <c r="R58" s="14"/>
      <c r="S58" s="14"/>
      <c r="T58" s="8" t="str">
        <f aca="false">IF(AND(ISNUMBER(R58),ISNUMBER(S58)),NETWORKDAYS(R58,S58,$Y$6:$Y$40)-1,"")</f>
        <v/>
      </c>
      <c r="U58" s="8" t="str">
        <f aca="false">IF(T58="","",IF(T58&lt;=$B$10,"Yes","No"))</f>
        <v/>
      </c>
      <c r="V58" s="13"/>
    </row>
    <row r="59" customFormat="false" ht="15" hidden="false" customHeight="false" outlineLevel="0" collapsed="false">
      <c r="A59" s="13"/>
      <c r="B59" s="14"/>
      <c r="C59" s="13"/>
      <c r="D59" s="13"/>
      <c r="E59" s="13"/>
      <c r="F59" s="13"/>
      <c r="G59" s="13"/>
      <c r="H59" s="13"/>
      <c r="I59" s="14"/>
      <c r="J59" s="14"/>
      <c r="K59" s="8" t="str">
        <f aca="false">IF(AND(ISNUMBER(B59),ISNUMBER(J59)),NETWORKDAYS(B59,J59,$Y$6:$Y$40)-1,"")</f>
        <v/>
      </c>
      <c r="L59" s="8" t="str">
        <f aca="false">IF(B59="","",IF(H59="Y",$B$8,$B$7))</f>
        <v/>
      </c>
      <c r="M59" s="8" t="str">
        <f aca="false">IF(K59="","",IF(K59&lt;=L59,"Yes","No"))</f>
        <v/>
      </c>
      <c r="N59" s="13"/>
      <c r="O59" s="13"/>
      <c r="P59" s="13"/>
      <c r="Q59" s="13"/>
      <c r="R59" s="14"/>
      <c r="S59" s="14"/>
      <c r="T59" s="8" t="str">
        <f aca="false">IF(AND(ISNUMBER(R59),ISNUMBER(S59)),NETWORKDAYS(R59,S59,$Y$6:$Y$40)-1,"")</f>
        <v/>
      </c>
      <c r="U59" s="8" t="str">
        <f aca="false">IF(T59="","",IF(T59&lt;=$B$10,"Yes","No"))</f>
        <v/>
      </c>
      <c r="V59" s="13"/>
    </row>
    <row r="60" customFormat="false" ht="15" hidden="false" customHeight="false" outlineLevel="0" collapsed="false">
      <c r="A60" s="13"/>
      <c r="B60" s="14"/>
      <c r="C60" s="13"/>
      <c r="D60" s="13"/>
      <c r="E60" s="13"/>
      <c r="F60" s="13"/>
      <c r="G60" s="13"/>
      <c r="H60" s="13"/>
      <c r="I60" s="14"/>
      <c r="J60" s="14"/>
      <c r="K60" s="8" t="str">
        <f aca="false">IF(AND(ISNUMBER(B60),ISNUMBER(J60)),NETWORKDAYS(B60,J60,$Y$6:$Y$40)-1,"")</f>
        <v/>
      </c>
      <c r="L60" s="8" t="str">
        <f aca="false">IF(B60="","",IF(H60="Y",$B$8,$B$7))</f>
        <v/>
      </c>
      <c r="M60" s="8" t="str">
        <f aca="false">IF(K60="","",IF(K60&lt;=L60,"Yes","No"))</f>
        <v/>
      </c>
      <c r="N60" s="13"/>
      <c r="O60" s="13"/>
      <c r="P60" s="13"/>
      <c r="Q60" s="13"/>
      <c r="R60" s="14"/>
      <c r="S60" s="14"/>
      <c r="T60" s="8" t="str">
        <f aca="false">IF(AND(ISNUMBER(R60),ISNUMBER(S60)),NETWORKDAYS(R60,S60,$Y$6:$Y$40)-1,"")</f>
        <v/>
      </c>
      <c r="U60" s="8" t="str">
        <f aca="false">IF(T60="","",IF(T60&lt;=$B$10,"Yes","No"))</f>
        <v/>
      </c>
      <c r="V60" s="13"/>
    </row>
    <row r="61" customFormat="false" ht="15" hidden="false" customHeight="false" outlineLevel="0" collapsed="false">
      <c r="A61" s="13"/>
      <c r="B61" s="14"/>
      <c r="C61" s="13"/>
      <c r="D61" s="13"/>
      <c r="E61" s="13"/>
      <c r="F61" s="13"/>
      <c r="G61" s="13"/>
      <c r="H61" s="13"/>
      <c r="I61" s="14"/>
      <c r="J61" s="14"/>
      <c r="K61" s="8" t="str">
        <f aca="false">IF(AND(ISNUMBER(B61),ISNUMBER(J61)),NETWORKDAYS(B61,J61,$Y$6:$Y$40)-1,"")</f>
        <v/>
      </c>
      <c r="L61" s="8" t="str">
        <f aca="false">IF(B61="","",IF(H61="Y",$B$8,$B$7))</f>
        <v/>
      </c>
      <c r="M61" s="8" t="str">
        <f aca="false">IF(K61="","",IF(K61&lt;=L61,"Yes","No"))</f>
        <v/>
      </c>
      <c r="N61" s="13"/>
      <c r="O61" s="13"/>
      <c r="P61" s="13"/>
      <c r="Q61" s="13"/>
      <c r="R61" s="14"/>
      <c r="S61" s="14"/>
      <c r="T61" s="8" t="str">
        <f aca="false">IF(AND(ISNUMBER(R61),ISNUMBER(S61)),NETWORKDAYS(R61,S61,$Y$6:$Y$40)-1,"")</f>
        <v/>
      </c>
      <c r="U61" s="8" t="str">
        <f aca="false">IF(T61="","",IF(T61&lt;=$B$10,"Yes","No"))</f>
        <v/>
      </c>
      <c r="V61" s="13"/>
    </row>
    <row r="62" customFormat="false" ht="15" hidden="false" customHeight="false" outlineLevel="0" collapsed="false">
      <c r="A62" s="13"/>
      <c r="B62" s="14"/>
      <c r="C62" s="13"/>
      <c r="D62" s="13"/>
      <c r="E62" s="13"/>
      <c r="F62" s="13"/>
      <c r="G62" s="13"/>
      <c r="H62" s="13"/>
      <c r="I62" s="14"/>
      <c r="J62" s="14"/>
      <c r="K62" s="8" t="str">
        <f aca="false">IF(AND(ISNUMBER(B62),ISNUMBER(J62)),NETWORKDAYS(B62,J62,$Y$6:$Y$40)-1,"")</f>
        <v/>
      </c>
      <c r="L62" s="8" t="str">
        <f aca="false">IF(B62="","",IF(H62="Y",$B$8,$B$7))</f>
        <v/>
      </c>
      <c r="M62" s="8" t="str">
        <f aca="false">IF(K62="","",IF(K62&lt;=L62,"Yes","No"))</f>
        <v/>
      </c>
      <c r="N62" s="13"/>
      <c r="O62" s="13"/>
      <c r="P62" s="13"/>
      <c r="Q62" s="13"/>
      <c r="R62" s="14"/>
      <c r="S62" s="14"/>
      <c r="T62" s="8" t="str">
        <f aca="false">IF(AND(ISNUMBER(R62),ISNUMBER(S62)),NETWORKDAYS(R62,S62,$Y$6:$Y$40)-1,"")</f>
        <v/>
      </c>
      <c r="U62" s="8" t="str">
        <f aca="false">IF(T62="","",IF(T62&lt;=$B$10,"Yes","No"))</f>
        <v/>
      </c>
      <c r="V62" s="13"/>
    </row>
    <row r="63" customFormat="false" ht="15" hidden="false" customHeight="false" outlineLevel="0" collapsed="false">
      <c r="A63" s="13"/>
      <c r="B63" s="14"/>
      <c r="C63" s="13"/>
      <c r="D63" s="13"/>
      <c r="E63" s="13"/>
      <c r="F63" s="13"/>
      <c r="G63" s="13"/>
      <c r="H63" s="13"/>
      <c r="I63" s="14"/>
      <c r="J63" s="14"/>
      <c r="K63" s="8" t="str">
        <f aca="false">IF(AND(ISNUMBER(B63),ISNUMBER(J63)),NETWORKDAYS(B63,J63,$Y$6:$Y$40)-1,"")</f>
        <v/>
      </c>
      <c r="L63" s="8" t="str">
        <f aca="false">IF(B63="","",IF(H63="Y",$B$8,$B$7))</f>
        <v/>
      </c>
      <c r="M63" s="8" t="str">
        <f aca="false">IF(K63="","",IF(K63&lt;=L63,"Yes","No"))</f>
        <v/>
      </c>
      <c r="N63" s="13"/>
      <c r="O63" s="13"/>
      <c r="P63" s="13"/>
      <c r="Q63" s="13"/>
      <c r="R63" s="14"/>
      <c r="S63" s="14"/>
      <c r="T63" s="8" t="str">
        <f aca="false">IF(AND(ISNUMBER(R63),ISNUMBER(S63)),NETWORKDAYS(R63,S63,$Y$6:$Y$40)-1,"")</f>
        <v/>
      </c>
      <c r="U63" s="8" t="str">
        <f aca="false">IF(T63="","",IF(T63&lt;=$B$10,"Yes","No"))</f>
        <v/>
      </c>
      <c r="V63" s="13"/>
    </row>
    <row r="64" customFormat="false" ht="15" hidden="false" customHeight="false" outlineLevel="0" collapsed="false">
      <c r="A64" s="13"/>
      <c r="B64" s="14"/>
      <c r="C64" s="13"/>
      <c r="D64" s="13"/>
      <c r="E64" s="13"/>
      <c r="F64" s="13"/>
      <c r="G64" s="13"/>
      <c r="H64" s="13"/>
      <c r="I64" s="14"/>
      <c r="J64" s="14"/>
      <c r="K64" s="8" t="str">
        <f aca="false">IF(AND(ISNUMBER(B64),ISNUMBER(J64)),NETWORKDAYS(B64,J64,$Y$6:$Y$40)-1,"")</f>
        <v/>
      </c>
      <c r="L64" s="8" t="str">
        <f aca="false">IF(B64="","",IF(H64="Y",$B$8,$B$7))</f>
        <v/>
      </c>
      <c r="M64" s="8" t="str">
        <f aca="false">IF(K64="","",IF(K64&lt;=L64,"Yes","No"))</f>
        <v/>
      </c>
      <c r="N64" s="13"/>
      <c r="O64" s="13"/>
      <c r="P64" s="13"/>
      <c r="Q64" s="13"/>
      <c r="R64" s="14"/>
      <c r="S64" s="14"/>
      <c r="T64" s="8" t="str">
        <f aca="false">IF(AND(ISNUMBER(R64),ISNUMBER(S64)),NETWORKDAYS(R64,S64,$Y$6:$Y$40)-1,"")</f>
        <v/>
      </c>
      <c r="U64" s="8" t="str">
        <f aca="false">IF(T64="","",IF(T64&lt;=$B$10,"Yes","No"))</f>
        <v/>
      </c>
      <c r="V64" s="13"/>
    </row>
    <row r="65" customFormat="false" ht="15" hidden="false" customHeight="false" outlineLevel="0" collapsed="false">
      <c r="A65" s="13"/>
      <c r="B65" s="14"/>
      <c r="C65" s="13"/>
      <c r="D65" s="13"/>
      <c r="E65" s="13"/>
      <c r="F65" s="13"/>
      <c r="G65" s="13"/>
      <c r="H65" s="13"/>
      <c r="I65" s="14"/>
      <c r="J65" s="14"/>
      <c r="K65" s="8" t="str">
        <f aca="false">IF(AND(ISNUMBER(B65),ISNUMBER(J65)),NETWORKDAYS(B65,J65,$Y$6:$Y$40)-1,"")</f>
        <v/>
      </c>
      <c r="L65" s="8" t="str">
        <f aca="false">IF(B65="","",IF(H65="Y",$B$8,$B$7))</f>
        <v/>
      </c>
      <c r="M65" s="8" t="str">
        <f aca="false">IF(K65="","",IF(K65&lt;=L65,"Yes","No"))</f>
        <v/>
      </c>
      <c r="N65" s="13"/>
      <c r="O65" s="13"/>
      <c r="P65" s="13"/>
      <c r="Q65" s="13"/>
      <c r="R65" s="14"/>
      <c r="S65" s="14"/>
      <c r="T65" s="8" t="str">
        <f aca="false">IF(AND(ISNUMBER(R65),ISNUMBER(S65)),NETWORKDAYS(R65,S65,$Y$6:$Y$40)-1,"")</f>
        <v/>
      </c>
      <c r="U65" s="8" t="str">
        <f aca="false">IF(T65="","",IF(T65&lt;=$B$10,"Yes","No"))</f>
        <v/>
      </c>
      <c r="V65" s="13"/>
    </row>
    <row r="66" customFormat="false" ht="15" hidden="false" customHeight="false" outlineLevel="0" collapsed="false">
      <c r="A66" s="13"/>
      <c r="B66" s="14"/>
      <c r="C66" s="13"/>
      <c r="D66" s="13"/>
      <c r="E66" s="13"/>
      <c r="F66" s="13"/>
      <c r="G66" s="13"/>
      <c r="H66" s="13"/>
      <c r="I66" s="14"/>
      <c r="J66" s="14"/>
      <c r="K66" s="8" t="str">
        <f aca="false">IF(AND(ISNUMBER(B66),ISNUMBER(J66)),NETWORKDAYS(B66,J66,$Y$6:$Y$40)-1,"")</f>
        <v/>
      </c>
      <c r="L66" s="8" t="str">
        <f aca="false">IF(B66="","",IF(H66="Y",$B$8,$B$7))</f>
        <v/>
      </c>
      <c r="M66" s="8" t="str">
        <f aca="false">IF(K66="","",IF(K66&lt;=L66,"Yes","No"))</f>
        <v/>
      </c>
      <c r="N66" s="13"/>
      <c r="O66" s="13"/>
      <c r="P66" s="13"/>
      <c r="Q66" s="13"/>
      <c r="R66" s="14"/>
      <c r="S66" s="14"/>
      <c r="T66" s="8" t="str">
        <f aca="false">IF(AND(ISNUMBER(R66),ISNUMBER(S66)),NETWORKDAYS(R66,S66,$Y$6:$Y$40)-1,"")</f>
        <v/>
      </c>
      <c r="U66" s="8" t="str">
        <f aca="false">IF(T66="","",IF(T66&lt;=$B$10,"Yes","No"))</f>
        <v/>
      </c>
      <c r="V66" s="13"/>
    </row>
    <row r="67" customFormat="false" ht="15" hidden="false" customHeight="false" outlineLevel="0" collapsed="false">
      <c r="A67" s="13"/>
      <c r="B67" s="14"/>
      <c r="C67" s="13"/>
      <c r="D67" s="13"/>
      <c r="E67" s="13"/>
      <c r="F67" s="13"/>
      <c r="G67" s="13"/>
      <c r="H67" s="13"/>
      <c r="I67" s="14"/>
      <c r="J67" s="14"/>
      <c r="K67" s="8" t="str">
        <f aca="false">IF(AND(ISNUMBER(B67),ISNUMBER(J67)),NETWORKDAYS(B67,J67,$Y$6:$Y$40)-1,"")</f>
        <v/>
      </c>
      <c r="L67" s="8" t="str">
        <f aca="false">IF(B67="","",IF(H67="Y",$B$8,$B$7))</f>
        <v/>
      </c>
      <c r="M67" s="8" t="str">
        <f aca="false">IF(K67="","",IF(K67&lt;=L67,"Yes","No"))</f>
        <v/>
      </c>
      <c r="N67" s="13"/>
      <c r="O67" s="13"/>
      <c r="P67" s="13"/>
      <c r="Q67" s="13"/>
      <c r="R67" s="14"/>
      <c r="S67" s="14"/>
      <c r="T67" s="8" t="str">
        <f aca="false">IF(AND(ISNUMBER(R67),ISNUMBER(S67)),NETWORKDAYS(R67,S67,$Y$6:$Y$40)-1,"")</f>
        <v/>
      </c>
      <c r="U67" s="8" t="str">
        <f aca="false">IF(T67="","",IF(T67&lt;=$B$10,"Yes","No"))</f>
        <v/>
      </c>
      <c r="V67" s="13"/>
    </row>
    <row r="68" customFormat="false" ht="15" hidden="false" customHeight="false" outlineLevel="0" collapsed="false">
      <c r="A68" s="13"/>
      <c r="B68" s="14"/>
      <c r="C68" s="13"/>
      <c r="D68" s="13"/>
      <c r="E68" s="13"/>
      <c r="F68" s="13"/>
      <c r="G68" s="13"/>
      <c r="H68" s="13"/>
      <c r="I68" s="14"/>
      <c r="J68" s="14"/>
      <c r="K68" s="8" t="str">
        <f aca="false">IF(AND(ISNUMBER(B68),ISNUMBER(J68)),NETWORKDAYS(B68,J68,$Y$6:$Y$40)-1,"")</f>
        <v/>
      </c>
      <c r="L68" s="8" t="str">
        <f aca="false">IF(B68="","",IF(H68="Y",$B$8,$B$7))</f>
        <v/>
      </c>
      <c r="M68" s="8" t="str">
        <f aca="false">IF(K68="","",IF(K68&lt;=L68,"Yes","No"))</f>
        <v/>
      </c>
      <c r="N68" s="13"/>
      <c r="O68" s="13"/>
      <c r="P68" s="13"/>
      <c r="Q68" s="13"/>
      <c r="R68" s="14"/>
      <c r="S68" s="14"/>
      <c r="T68" s="8" t="str">
        <f aca="false">IF(AND(ISNUMBER(R68),ISNUMBER(S68)),NETWORKDAYS(R68,S68,$Y$6:$Y$40)-1,"")</f>
        <v/>
      </c>
      <c r="U68" s="8" t="str">
        <f aca="false">IF(T68="","",IF(T68&lt;=$B$10,"Yes","No"))</f>
        <v/>
      </c>
      <c r="V68" s="13"/>
    </row>
    <row r="69" customFormat="false" ht="15" hidden="false" customHeight="false" outlineLevel="0" collapsed="false">
      <c r="A69" s="13"/>
      <c r="B69" s="14"/>
      <c r="C69" s="13"/>
      <c r="D69" s="13"/>
      <c r="E69" s="13"/>
      <c r="F69" s="13"/>
      <c r="G69" s="13"/>
      <c r="H69" s="13"/>
      <c r="I69" s="14"/>
      <c r="J69" s="14"/>
      <c r="K69" s="8" t="str">
        <f aca="false">IF(AND(ISNUMBER(B69),ISNUMBER(J69)),NETWORKDAYS(B69,J69,$Y$6:$Y$40)-1,"")</f>
        <v/>
      </c>
      <c r="L69" s="8" t="str">
        <f aca="false">IF(B69="","",IF(H69="Y",$B$8,$B$7))</f>
        <v/>
      </c>
      <c r="M69" s="8" t="str">
        <f aca="false">IF(K69="","",IF(K69&lt;=L69,"Yes","No"))</f>
        <v/>
      </c>
      <c r="N69" s="13"/>
      <c r="O69" s="13"/>
      <c r="P69" s="13"/>
      <c r="Q69" s="13"/>
      <c r="R69" s="14"/>
      <c r="S69" s="14"/>
      <c r="T69" s="8" t="str">
        <f aca="false">IF(AND(ISNUMBER(R69),ISNUMBER(S69)),NETWORKDAYS(R69,S69,$Y$6:$Y$40)-1,"")</f>
        <v/>
      </c>
      <c r="U69" s="8" t="str">
        <f aca="false">IF(T69="","",IF(T69&lt;=$B$10,"Yes","No"))</f>
        <v/>
      </c>
      <c r="V69" s="13"/>
    </row>
    <row r="70" customFormat="false" ht="15" hidden="false" customHeight="false" outlineLevel="0" collapsed="false">
      <c r="A70" s="13"/>
      <c r="B70" s="14"/>
      <c r="C70" s="13"/>
      <c r="D70" s="13"/>
      <c r="E70" s="13"/>
      <c r="F70" s="13"/>
      <c r="G70" s="13"/>
      <c r="H70" s="13"/>
      <c r="I70" s="14"/>
      <c r="J70" s="14"/>
      <c r="K70" s="8" t="str">
        <f aca="false">IF(AND(ISNUMBER(B70),ISNUMBER(J70)),NETWORKDAYS(B70,J70,$Y$6:$Y$40)-1,"")</f>
        <v/>
      </c>
      <c r="L70" s="8" t="str">
        <f aca="false">IF(B70="","",IF(H70="Y",$B$8,$B$7))</f>
        <v/>
      </c>
      <c r="M70" s="8" t="str">
        <f aca="false">IF(K70="","",IF(K70&lt;=L70,"Yes","No"))</f>
        <v/>
      </c>
      <c r="N70" s="13"/>
      <c r="O70" s="13"/>
      <c r="P70" s="13"/>
      <c r="Q70" s="13"/>
      <c r="R70" s="14"/>
      <c r="S70" s="14"/>
      <c r="T70" s="8" t="str">
        <f aca="false">IF(AND(ISNUMBER(R70),ISNUMBER(S70)),NETWORKDAYS(R70,S70,$Y$6:$Y$40)-1,"")</f>
        <v/>
      </c>
      <c r="U70" s="8" t="str">
        <f aca="false">IF(T70="","",IF(T70&lt;=$B$10,"Yes","No"))</f>
        <v/>
      </c>
      <c r="V70" s="13"/>
    </row>
    <row r="71" customFormat="false" ht="15" hidden="false" customHeight="false" outlineLevel="0" collapsed="false">
      <c r="A71" s="13"/>
      <c r="B71" s="14"/>
      <c r="C71" s="13"/>
      <c r="D71" s="13"/>
      <c r="E71" s="13"/>
      <c r="F71" s="13"/>
      <c r="G71" s="13"/>
      <c r="H71" s="13"/>
      <c r="I71" s="14"/>
      <c r="J71" s="14"/>
      <c r="K71" s="8" t="str">
        <f aca="false">IF(AND(ISNUMBER(B71),ISNUMBER(J71)),NETWORKDAYS(B71,J71,$Y$6:$Y$40)-1,"")</f>
        <v/>
      </c>
      <c r="L71" s="8" t="str">
        <f aca="false">IF(B71="","",IF(H71="Y",$B$8,$B$7))</f>
        <v/>
      </c>
      <c r="M71" s="8" t="str">
        <f aca="false">IF(K71="","",IF(K71&lt;=L71,"Yes","No"))</f>
        <v/>
      </c>
      <c r="N71" s="13"/>
      <c r="O71" s="13"/>
      <c r="P71" s="13"/>
      <c r="Q71" s="13"/>
      <c r="R71" s="14"/>
      <c r="S71" s="14"/>
      <c r="T71" s="8" t="str">
        <f aca="false">IF(AND(ISNUMBER(R71),ISNUMBER(S71)),NETWORKDAYS(R71,S71,$Y$6:$Y$40)-1,"")</f>
        <v/>
      </c>
      <c r="U71" s="8" t="str">
        <f aca="false">IF(T71="","",IF(T71&lt;=$B$10,"Yes","No"))</f>
        <v/>
      </c>
      <c r="V71" s="13"/>
    </row>
    <row r="72" customFormat="false" ht="15" hidden="false" customHeight="false" outlineLevel="0" collapsed="false">
      <c r="A72" s="13"/>
      <c r="B72" s="14"/>
      <c r="C72" s="13"/>
      <c r="D72" s="13"/>
      <c r="E72" s="13"/>
      <c r="F72" s="13"/>
      <c r="G72" s="13"/>
      <c r="H72" s="13"/>
      <c r="I72" s="14"/>
      <c r="J72" s="14"/>
      <c r="K72" s="8" t="str">
        <f aca="false">IF(AND(ISNUMBER(B72),ISNUMBER(J72)),NETWORKDAYS(B72,J72,$Y$6:$Y$40)-1,"")</f>
        <v/>
      </c>
      <c r="L72" s="8" t="str">
        <f aca="false">IF(B72="","",IF(H72="Y",$B$8,$B$7))</f>
        <v/>
      </c>
      <c r="M72" s="8" t="str">
        <f aca="false">IF(K72="","",IF(K72&lt;=L72,"Yes","No"))</f>
        <v/>
      </c>
      <c r="N72" s="13"/>
      <c r="O72" s="13"/>
      <c r="P72" s="13"/>
      <c r="Q72" s="13"/>
      <c r="R72" s="14"/>
      <c r="S72" s="14"/>
      <c r="T72" s="8" t="str">
        <f aca="false">IF(AND(ISNUMBER(R72),ISNUMBER(S72)),NETWORKDAYS(R72,S72,$Y$6:$Y$40)-1,"")</f>
        <v/>
      </c>
      <c r="U72" s="8" t="str">
        <f aca="false">IF(T72="","",IF(T72&lt;=$B$10,"Yes","No"))</f>
        <v/>
      </c>
      <c r="V72" s="13"/>
    </row>
    <row r="73" customFormat="false" ht="15" hidden="false" customHeight="false" outlineLevel="0" collapsed="false">
      <c r="A73" s="13"/>
      <c r="B73" s="14"/>
      <c r="C73" s="13"/>
      <c r="D73" s="13"/>
      <c r="E73" s="13"/>
      <c r="F73" s="13"/>
      <c r="G73" s="13"/>
      <c r="H73" s="13"/>
      <c r="I73" s="14"/>
      <c r="J73" s="14"/>
      <c r="K73" s="8" t="str">
        <f aca="false">IF(AND(ISNUMBER(B73),ISNUMBER(J73)),NETWORKDAYS(B73,J73,$Y$6:$Y$40)-1,"")</f>
        <v/>
      </c>
      <c r="L73" s="8" t="str">
        <f aca="false">IF(B73="","",IF(H73="Y",$B$8,$B$7))</f>
        <v/>
      </c>
      <c r="M73" s="8" t="str">
        <f aca="false">IF(K73="","",IF(K73&lt;=L73,"Yes","No"))</f>
        <v/>
      </c>
      <c r="N73" s="13"/>
      <c r="O73" s="13"/>
      <c r="P73" s="13"/>
      <c r="Q73" s="13"/>
      <c r="R73" s="14"/>
      <c r="S73" s="14"/>
      <c r="T73" s="8" t="str">
        <f aca="false">IF(AND(ISNUMBER(R73),ISNUMBER(S73)),NETWORKDAYS(R73,S73,$Y$6:$Y$40)-1,"")</f>
        <v/>
      </c>
      <c r="U73" s="8" t="str">
        <f aca="false">IF(T73="","",IF(T73&lt;=$B$10,"Yes","No"))</f>
        <v/>
      </c>
      <c r="V73" s="13"/>
    </row>
    <row r="74" customFormat="false" ht="15" hidden="false" customHeight="false" outlineLevel="0" collapsed="false">
      <c r="A74" s="13"/>
      <c r="B74" s="14"/>
      <c r="C74" s="13"/>
      <c r="D74" s="13"/>
      <c r="E74" s="13"/>
      <c r="F74" s="13"/>
      <c r="G74" s="13"/>
      <c r="H74" s="13"/>
      <c r="I74" s="14"/>
      <c r="J74" s="14"/>
      <c r="K74" s="8" t="str">
        <f aca="false">IF(AND(ISNUMBER(B74),ISNUMBER(J74)),NETWORKDAYS(B74,J74,$Y$6:$Y$40)-1,"")</f>
        <v/>
      </c>
      <c r="L74" s="8" t="str">
        <f aca="false">IF(B74="","",IF(H74="Y",$B$8,$B$7))</f>
        <v/>
      </c>
      <c r="M74" s="8" t="str">
        <f aca="false">IF(K74="","",IF(K74&lt;=L74,"Yes","No"))</f>
        <v/>
      </c>
      <c r="N74" s="13"/>
      <c r="O74" s="13"/>
      <c r="P74" s="13"/>
      <c r="Q74" s="13"/>
      <c r="R74" s="14"/>
      <c r="S74" s="14"/>
      <c r="T74" s="8" t="str">
        <f aca="false">IF(AND(ISNUMBER(R74),ISNUMBER(S74)),NETWORKDAYS(R74,S74,$Y$6:$Y$40)-1,"")</f>
        <v/>
      </c>
      <c r="U74" s="8" t="str">
        <f aca="false">IF(T74="","",IF(T74&lt;=$B$10,"Yes","No"))</f>
        <v/>
      </c>
      <c r="V74" s="13"/>
    </row>
    <row r="75" customFormat="false" ht="15" hidden="false" customHeight="false" outlineLevel="0" collapsed="false">
      <c r="A75" s="13"/>
      <c r="B75" s="14"/>
      <c r="C75" s="13"/>
      <c r="D75" s="13"/>
      <c r="E75" s="13"/>
      <c r="F75" s="13"/>
      <c r="G75" s="13"/>
      <c r="H75" s="13"/>
      <c r="I75" s="14"/>
      <c r="J75" s="14"/>
      <c r="K75" s="8" t="str">
        <f aca="false">IF(AND(ISNUMBER(B75),ISNUMBER(J75)),NETWORKDAYS(B75,J75,$Y$6:$Y$40)-1,"")</f>
        <v/>
      </c>
      <c r="L75" s="8" t="str">
        <f aca="false">IF(B75="","",IF(H75="Y",$B$8,$B$7))</f>
        <v/>
      </c>
      <c r="M75" s="8" t="str">
        <f aca="false">IF(K75="","",IF(K75&lt;=L75,"Yes","No"))</f>
        <v/>
      </c>
      <c r="N75" s="13"/>
      <c r="O75" s="13"/>
      <c r="P75" s="13"/>
      <c r="Q75" s="13"/>
      <c r="R75" s="14"/>
      <c r="S75" s="14"/>
      <c r="T75" s="8" t="str">
        <f aca="false">IF(AND(ISNUMBER(R75),ISNUMBER(S75)),NETWORKDAYS(R75,S75,$Y$6:$Y$40)-1,"")</f>
        <v/>
      </c>
      <c r="U75" s="8" t="str">
        <f aca="false">IF(T75="","",IF(T75&lt;=$B$10,"Yes","No"))</f>
        <v/>
      </c>
      <c r="V75" s="13"/>
    </row>
    <row r="76" customFormat="false" ht="15" hidden="false" customHeight="false" outlineLevel="0" collapsed="false">
      <c r="A76" s="13"/>
      <c r="B76" s="14"/>
      <c r="C76" s="13"/>
      <c r="D76" s="13"/>
      <c r="E76" s="13"/>
      <c r="F76" s="13"/>
      <c r="G76" s="13"/>
      <c r="H76" s="13"/>
      <c r="I76" s="14"/>
      <c r="J76" s="14"/>
      <c r="K76" s="8" t="str">
        <f aca="false">IF(AND(ISNUMBER(B76),ISNUMBER(J76)),NETWORKDAYS(B76,J76,$Y$6:$Y$40)-1,"")</f>
        <v/>
      </c>
      <c r="L76" s="8" t="str">
        <f aca="false">IF(B76="","",IF(H76="Y",$B$8,$B$7))</f>
        <v/>
      </c>
      <c r="M76" s="8" t="str">
        <f aca="false">IF(K76="","",IF(K76&lt;=L76,"Yes","No"))</f>
        <v/>
      </c>
      <c r="N76" s="13"/>
      <c r="O76" s="13"/>
      <c r="P76" s="13"/>
      <c r="Q76" s="13"/>
      <c r="R76" s="14"/>
      <c r="S76" s="14"/>
      <c r="T76" s="8" t="str">
        <f aca="false">IF(AND(ISNUMBER(R76),ISNUMBER(S76)),NETWORKDAYS(R76,S76,$Y$6:$Y$40)-1,"")</f>
        <v/>
      </c>
      <c r="U76" s="8" t="str">
        <f aca="false">IF(T76="","",IF(T76&lt;=$B$10,"Yes","No"))</f>
        <v/>
      </c>
      <c r="V76" s="13"/>
    </row>
    <row r="77" customFormat="false" ht="15" hidden="false" customHeight="false" outlineLevel="0" collapsed="false">
      <c r="A77" s="13"/>
      <c r="B77" s="14"/>
      <c r="C77" s="13"/>
      <c r="D77" s="13"/>
      <c r="E77" s="13"/>
      <c r="F77" s="13"/>
      <c r="G77" s="13"/>
      <c r="H77" s="13"/>
      <c r="I77" s="14"/>
      <c r="J77" s="14"/>
      <c r="K77" s="8" t="str">
        <f aca="false">IF(AND(ISNUMBER(B77),ISNUMBER(J77)),NETWORKDAYS(B77,J77,$Y$6:$Y$40)-1,"")</f>
        <v/>
      </c>
      <c r="L77" s="8" t="str">
        <f aca="false">IF(B77="","",IF(H77="Y",$B$8,$B$7))</f>
        <v/>
      </c>
      <c r="M77" s="8" t="str">
        <f aca="false">IF(K77="","",IF(K77&lt;=L77,"Yes","No"))</f>
        <v/>
      </c>
      <c r="N77" s="13"/>
      <c r="O77" s="13"/>
      <c r="P77" s="13"/>
      <c r="Q77" s="13"/>
      <c r="R77" s="14"/>
      <c r="S77" s="14"/>
      <c r="T77" s="8" t="str">
        <f aca="false">IF(AND(ISNUMBER(R77),ISNUMBER(S77)),NETWORKDAYS(R77,S77,$Y$6:$Y$40)-1,"")</f>
        <v/>
      </c>
      <c r="U77" s="8" t="str">
        <f aca="false">IF(T77="","",IF(T77&lt;=$B$10,"Yes","No"))</f>
        <v/>
      </c>
      <c r="V77" s="13"/>
    </row>
    <row r="78" customFormat="false" ht="15" hidden="false" customHeight="false" outlineLevel="0" collapsed="false">
      <c r="A78" s="13"/>
      <c r="B78" s="14"/>
      <c r="C78" s="13"/>
      <c r="D78" s="13"/>
      <c r="E78" s="13"/>
      <c r="F78" s="13"/>
      <c r="G78" s="13"/>
      <c r="H78" s="13"/>
      <c r="I78" s="14"/>
      <c r="J78" s="14"/>
      <c r="K78" s="8" t="str">
        <f aca="false">IF(AND(ISNUMBER(B78),ISNUMBER(J78)),NETWORKDAYS(B78,J78,$Y$6:$Y$40)-1,"")</f>
        <v/>
      </c>
      <c r="L78" s="8" t="str">
        <f aca="false">IF(B78="","",IF(H78="Y",$B$8,$B$7))</f>
        <v/>
      </c>
      <c r="M78" s="8" t="str">
        <f aca="false">IF(K78="","",IF(K78&lt;=L78,"Yes","No"))</f>
        <v/>
      </c>
      <c r="N78" s="13"/>
      <c r="O78" s="13"/>
      <c r="P78" s="13"/>
      <c r="Q78" s="13"/>
      <c r="R78" s="14"/>
      <c r="S78" s="14"/>
      <c r="T78" s="8" t="str">
        <f aca="false">IF(AND(ISNUMBER(R78),ISNUMBER(S78)),NETWORKDAYS(R78,S78,$Y$6:$Y$40)-1,"")</f>
        <v/>
      </c>
      <c r="U78" s="8" t="str">
        <f aca="false">IF(T78="","",IF(T78&lt;=$B$10,"Yes","No"))</f>
        <v/>
      </c>
      <c r="V78" s="13"/>
    </row>
    <row r="79" customFormat="false" ht="15" hidden="false" customHeight="false" outlineLevel="0" collapsed="false">
      <c r="A79" s="13"/>
      <c r="B79" s="14"/>
      <c r="C79" s="13"/>
      <c r="D79" s="13"/>
      <c r="E79" s="13"/>
      <c r="F79" s="13"/>
      <c r="G79" s="13"/>
      <c r="H79" s="13"/>
      <c r="I79" s="14"/>
      <c r="J79" s="14"/>
      <c r="K79" s="8" t="str">
        <f aca="false">IF(AND(ISNUMBER(B79),ISNUMBER(J79)),NETWORKDAYS(B79,J79,$Y$6:$Y$40)-1,"")</f>
        <v/>
      </c>
      <c r="L79" s="8" t="str">
        <f aca="false">IF(B79="","",IF(H79="Y",$B$8,$B$7))</f>
        <v/>
      </c>
      <c r="M79" s="8" t="str">
        <f aca="false">IF(K79="","",IF(K79&lt;=L79,"Yes","No"))</f>
        <v/>
      </c>
      <c r="N79" s="13"/>
      <c r="O79" s="13"/>
      <c r="P79" s="13"/>
      <c r="Q79" s="13"/>
      <c r="R79" s="14"/>
      <c r="S79" s="14"/>
      <c r="T79" s="8" t="str">
        <f aca="false">IF(AND(ISNUMBER(R79),ISNUMBER(S79)),NETWORKDAYS(R79,S79,$Y$6:$Y$40)-1,"")</f>
        <v/>
      </c>
      <c r="U79" s="8" t="str">
        <f aca="false">IF(T79="","",IF(T79&lt;=$B$10,"Yes","No"))</f>
        <v/>
      </c>
      <c r="V79" s="13"/>
    </row>
    <row r="80" customFormat="false" ht="15" hidden="false" customHeight="false" outlineLevel="0" collapsed="false">
      <c r="A80" s="13"/>
      <c r="B80" s="14"/>
      <c r="C80" s="13"/>
      <c r="D80" s="13"/>
      <c r="E80" s="13"/>
      <c r="F80" s="13"/>
      <c r="G80" s="13"/>
      <c r="H80" s="13"/>
      <c r="I80" s="14"/>
      <c r="J80" s="14"/>
      <c r="K80" s="8" t="str">
        <f aca="false">IF(AND(ISNUMBER(B80),ISNUMBER(J80)),NETWORKDAYS(B80,J80,$Y$6:$Y$40)-1,"")</f>
        <v/>
      </c>
      <c r="L80" s="8" t="str">
        <f aca="false">IF(B80="","",IF(H80="Y",$B$8,$B$7))</f>
        <v/>
      </c>
      <c r="M80" s="8" t="str">
        <f aca="false">IF(K80="","",IF(K80&lt;=L80,"Yes","No"))</f>
        <v/>
      </c>
      <c r="N80" s="13"/>
      <c r="O80" s="13"/>
      <c r="P80" s="13"/>
      <c r="Q80" s="13"/>
      <c r="R80" s="14"/>
      <c r="S80" s="14"/>
      <c r="T80" s="8" t="str">
        <f aca="false">IF(AND(ISNUMBER(R80),ISNUMBER(S80)),NETWORKDAYS(R80,S80,$Y$6:$Y$40)-1,"")</f>
        <v/>
      </c>
      <c r="U80" s="8" t="str">
        <f aca="false">IF(T80="","",IF(T80&lt;=$B$10,"Yes","No"))</f>
        <v/>
      </c>
      <c r="V80" s="13"/>
    </row>
    <row r="81" customFormat="false" ht="15" hidden="false" customHeight="false" outlineLevel="0" collapsed="false">
      <c r="A81" s="13"/>
      <c r="B81" s="14"/>
      <c r="C81" s="13"/>
      <c r="D81" s="13"/>
      <c r="E81" s="13"/>
      <c r="F81" s="13"/>
      <c r="G81" s="13"/>
      <c r="H81" s="13"/>
      <c r="I81" s="14"/>
      <c r="J81" s="14"/>
      <c r="K81" s="8" t="str">
        <f aca="false">IF(AND(ISNUMBER(B81),ISNUMBER(J81)),NETWORKDAYS(B81,J81,$Y$6:$Y$40)-1,"")</f>
        <v/>
      </c>
      <c r="L81" s="8" t="str">
        <f aca="false">IF(B81="","",IF(H81="Y",$B$8,$B$7))</f>
        <v/>
      </c>
      <c r="M81" s="8" t="str">
        <f aca="false">IF(K81="","",IF(K81&lt;=L81,"Yes","No"))</f>
        <v/>
      </c>
      <c r="N81" s="13"/>
      <c r="O81" s="13"/>
      <c r="P81" s="13"/>
      <c r="Q81" s="13"/>
      <c r="R81" s="14"/>
      <c r="S81" s="14"/>
      <c r="T81" s="8" t="str">
        <f aca="false">IF(AND(ISNUMBER(R81),ISNUMBER(S81)),NETWORKDAYS(R81,S81,$Y$6:$Y$40)-1,"")</f>
        <v/>
      </c>
      <c r="U81" s="8" t="str">
        <f aca="false">IF(T81="","",IF(T81&lt;=$B$10,"Yes","No"))</f>
        <v/>
      </c>
      <c r="V81" s="13"/>
    </row>
    <row r="82" customFormat="false" ht="15" hidden="false" customHeight="false" outlineLevel="0" collapsed="false">
      <c r="A82" s="13"/>
      <c r="B82" s="14"/>
      <c r="C82" s="13"/>
      <c r="D82" s="13"/>
      <c r="E82" s="13"/>
      <c r="F82" s="13"/>
      <c r="G82" s="13"/>
      <c r="H82" s="13"/>
      <c r="I82" s="14"/>
      <c r="J82" s="14"/>
      <c r="K82" s="8" t="str">
        <f aca="false">IF(AND(ISNUMBER(B82),ISNUMBER(J82)),NETWORKDAYS(B82,J82,$Y$6:$Y$40)-1,"")</f>
        <v/>
      </c>
      <c r="L82" s="8" t="str">
        <f aca="false">IF(B82="","",IF(H82="Y",$B$8,$B$7))</f>
        <v/>
      </c>
      <c r="M82" s="8" t="str">
        <f aca="false">IF(K82="","",IF(K82&lt;=L82,"Yes","No"))</f>
        <v/>
      </c>
      <c r="N82" s="13"/>
      <c r="O82" s="13"/>
      <c r="P82" s="13"/>
      <c r="Q82" s="13"/>
      <c r="R82" s="14"/>
      <c r="S82" s="14"/>
      <c r="T82" s="8" t="str">
        <f aca="false">IF(AND(ISNUMBER(R82),ISNUMBER(S82)),NETWORKDAYS(R82,S82,$Y$6:$Y$40)-1,"")</f>
        <v/>
      </c>
      <c r="U82" s="8" t="str">
        <f aca="false">IF(T82="","",IF(T82&lt;=$B$10,"Yes","No"))</f>
        <v/>
      </c>
      <c r="V82" s="13"/>
    </row>
    <row r="83" customFormat="false" ht="15" hidden="false" customHeight="false" outlineLevel="0" collapsed="false">
      <c r="A83" s="13"/>
      <c r="B83" s="14"/>
      <c r="C83" s="13"/>
      <c r="D83" s="13"/>
      <c r="E83" s="13"/>
      <c r="F83" s="13"/>
      <c r="G83" s="13"/>
      <c r="H83" s="13"/>
      <c r="I83" s="14"/>
      <c r="J83" s="14"/>
      <c r="K83" s="8" t="str">
        <f aca="false">IF(AND(ISNUMBER(B83),ISNUMBER(J83)),NETWORKDAYS(B83,J83,$Y$6:$Y$40)-1,"")</f>
        <v/>
      </c>
      <c r="L83" s="8" t="str">
        <f aca="false">IF(B83="","",IF(H83="Y",$B$8,$B$7))</f>
        <v/>
      </c>
      <c r="M83" s="8" t="str">
        <f aca="false">IF(K83="","",IF(K83&lt;=L83,"Yes","No"))</f>
        <v/>
      </c>
      <c r="N83" s="13"/>
      <c r="O83" s="13"/>
      <c r="P83" s="13"/>
      <c r="Q83" s="13"/>
      <c r="R83" s="14"/>
      <c r="S83" s="14"/>
      <c r="T83" s="8" t="str">
        <f aca="false">IF(AND(ISNUMBER(R83),ISNUMBER(S83)),NETWORKDAYS(R83,S83,$Y$6:$Y$40)-1,"")</f>
        <v/>
      </c>
      <c r="U83" s="8" t="str">
        <f aca="false">IF(T83="","",IF(T83&lt;=$B$10,"Yes","No"))</f>
        <v/>
      </c>
      <c r="V83" s="13"/>
    </row>
    <row r="84" customFormat="false" ht="15" hidden="false" customHeight="false" outlineLevel="0" collapsed="false">
      <c r="A84" s="13"/>
      <c r="B84" s="14"/>
      <c r="C84" s="13"/>
      <c r="D84" s="13"/>
      <c r="E84" s="13"/>
      <c r="F84" s="13"/>
      <c r="G84" s="13"/>
      <c r="H84" s="13"/>
      <c r="I84" s="14"/>
      <c r="J84" s="14"/>
      <c r="K84" s="8" t="str">
        <f aca="false">IF(AND(ISNUMBER(B84),ISNUMBER(J84)),NETWORKDAYS(B84,J84,$Y$6:$Y$40)-1,"")</f>
        <v/>
      </c>
      <c r="L84" s="8" t="str">
        <f aca="false">IF(B84="","",IF(H84="Y",$B$8,$B$7))</f>
        <v/>
      </c>
      <c r="M84" s="8" t="str">
        <f aca="false">IF(K84="","",IF(K84&lt;=L84,"Yes","No"))</f>
        <v/>
      </c>
      <c r="N84" s="13"/>
      <c r="O84" s="13"/>
      <c r="P84" s="13"/>
      <c r="Q84" s="13"/>
      <c r="R84" s="14"/>
      <c r="S84" s="14"/>
      <c r="T84" s="8" t="str">
        <f aca="false">IF(AND(ISNUMBER(R84),ISNUMBER(S84)),NETWORKDAYS(R84,S84,$Y$6:$Y$40)-1,"")</f>
        <v/>
      </c>
      <c r="U84" s="8" t="str">
        <f aca="false">IF(T84="","",IF(T84&lt;=$B$10,"Yes","No"))</f>
        <v/>
      </c>
      <c r="V84" s="13"/>
    </row>
    <row r="85" customFormat="false" ht="15" hidden="false" customHeight="false" outlineLevel="0" collapsed="false">
      <c r="A85" s="13"/>
      <c r="B85" s="14"/>
      <c r="C85" s="13"/>
      <c r="D85" s="13"/>
      <c r="E85" s="13"/>
      <c r="F85" s="13"/>
      <c r="G85" s="13"/>
      <c r="H85" s="13"/>
      <c r="I85" s="14"/>
      <c r="J85" s="14"/>
      <c r="K85" s="8" t="str">
        <f aca="false">IF(AND(ISNUMBER(B85),ISNUMBER(J85)),NETWORKDAYS(B85,J85,$Y$6:$Y$40)-1,"")</f>
        <v/>
      </c>
      <c r="L85" s="8" t="str">
        <f aca="false">IF(B85="","",IF(H85="Y",$B$8,$B$7))</f>
        <v/>
      </c>
      <c r="M85" s="8" t="str">
        <f aca="false">IF(K85="","",IF(K85&lt;=L85,"Yes","No"))</f>
        <v/>
      </c>
      <c r="N85" s="13"/>
      <c r="O85" s="13"/>
      <c r="P85" s="13"/>
      <c r="Q85" s="13"/>
      <c r="R85" s="14"/>
      <c r="S85" s="14"/>
      <c r="T85" s="8" t="str">
        <f aca="false">IF(AND(ISNUMBER(R85),ISNUMBER(S85)),NETWORKDAYS(R85,S85,$Y$6:$Y$40)-1,"")</f>
        <v/>
      </c>
      <c r="U85" s="8" t="str">
        <f aca="false">IF(T85="","",IF(T85&lt;=$B$10,"Yes","No"))</f>
        <v/>
      </c>
      <c r="V85" s="13"/>
    </row>
    <row r="86" customFormat="false" ht="15" hidden="false" customHeight="false" outlineLevel="0" collapsed="false">
      <c r="A86" s="13"/>
      <c r="B86" s="14"/>
      <c r="C86" s="13"/>
      <c r="D86" s="13"/>
      <c r="E86" s="13"/>
      <c r="F86" s="13"/>
      <c r="G86" s="13"/>
      <c r="H86" s="13"/>
      <c r="I86" s="14"/>
      <c r="J86" s="14"/>
      <c r="K86" s="8" t="str">
        <f aca="false">IF(AND(ISNUMBER(B86),ISNUMBER(J86)),NETWORKDAYS(B86,J86,$Y$6:$Y$40)-1,"")</f>
        <v/>
      </c>
      <c r="L86" s="8" t="str">
        <f aca="false">IF(B86="","",IF(H86="Y",$B$8,$B$7))</f>
        <v/>
      </c>
      <c r="M86" s="8" t="str">
        <f aca="false">IF(K86="","",IF(K86&lt;=L86,"Yes","No"))</f>
        <v/>
      </c>
      <c r="N86" s="13"/>
      <c r="O86" s="13"/>
      <c r="P86" s="13"/>
      <c r="Q86" s="13"/>
      <c r="R86" s="14"/>
      <c r="S86" s="14"/>
      <c r="T86" s="8" t="str">
        <f aca="false">IF(AND(ISNUMBER(R86),ISNUMBER(S86)),NETWORKDAYS(R86,S86,$Y$6:$Y$40)-1,"")</f>
        <v/>
      </c>
      <c r="U86" s="8" t="str">
        <f aca="false">IF(T86="","",IF(T86&lt;=$B$10,"Yes","No"))</f>
        <v/>
      </c>
      <c r="V86" s="13"/>
    </row>
    <row r="87" customFormat="false" ht="15" hidden="false" customHeight="false" outlineLevel="0" collapsed="false">
      <c r="A87" s="13"/>
      <c r="B87" s="14"/>
      <c r="C87" s="13"/>
      <c r="D87" s="13"/>
      <c r="E87" s="13"/>
      <c r="F87" s="13"/>
      <c r="G87" s="13"/>
      <c r="H87" s="13"/>
      <c r="I87" s="14"/>
      <c r="J87" s="14"/>
      <c r="K87" s="8" t="str">
        <f aca="false">IF(AND(ISNUMBER(B87),ISNUMBER(J87)),NETWORKDAYS(B87,J87,$Y$6:$Y$40)-1,"")</f>
        <v/>
      </c>
      <c r="L87" s="8" t="str">
        <f aca="false">IF(B87="","",IF(H87="Y",$B$8,$B$7))</f>
        <v/>
      </c>
      <c r="M87" s="8" t="str">
        <f aca="false">IF(K87="","",IF(K87&lt;=L87,"Yes","No"))</f>
        <v/>
      </c>
      <c r="N87" s="13"/>
      <c r="O87" s="13"/>
      <c r="P87" s="13"/>
      <c r="Q87" s="13"/>
      <c r="R87" s="14"/>
      <c r="S87" s="14"/>
      <c r="T87" s="8" t="str">
        <f aca="false">IF(AND(ISNUMBER(R87),ISNUMBER(S87)),NETWORKDAYS(R87,S87,$Y$6:$Y$40)-1,"")</f>
        <v/>
      </c>
      <c r="U87" s="8" t="str">
        <f aca="false">IF(T87="","",IF(T87&lt;=$B$10,"Yes","No"))</f>
        <v/>
      </c>
      <c r="V87" s="13"/>
    </row>
    <row r="88" customFormat="false" ht="15" hidden="false" customHeight="false" outlineLevel="0" collapsed="false">
      <c r="A88" s="13"/>
      <c r="B88" s="14"/>
      <c r="C88" s="13"/>
      <c r="D88" s="13"/>
      <c r="E88" s="13"/>
      <c r="F88" s="13"/>
      <c r="G88" s="13"/>
      <c r="H88" s="13"/>
      <c r="I88" s="14"/>
      <c r="J88" s="14"/>
      <c r="K88" s="8" t="str">
        <f aca="false">IF(AND(ISNUMBER(B88),ISNUMBER(J88)),NETWORKDAYS(B88,J88,$Y$6:$Y$40)-1,"")</f>
        <v/>
      </c>
      <c r="L88" s="8" t="str">
        <f aca="false">IF(B88="","",IF(H88="Y",$B$8,$B$7))</f>
        <v/>
      </c>
      <c r="M88" s="8" t="str">
        <f aca="false">IF(K88="","",IF(K88&lt;=L88,"Yes","No"))</f>
        <v/>
      </c>
      <c r="N88" s="13"/>
      <c r="O88" s="13"/>
      <c r="P88" s="13"/>
      <c r="Q88" s="13"/>
      <c r="R88" s="14"/>
      <c r="S88" s="14"/>
      <c r="T88" s="8" t="str">
        <f aca="false">IF(AND(ISNUMBER(R88),ISNUMBER(S88)),NETWORKDAYS(R88,S88,$Y$6:$Y$40)-1,"")</f>
        <v/>
      </c>
      <c r="U88" s="8" t="str">
        <f aca="false">IF(T88="","",IF(T88&lt;=$B$10,"Yes","No"))</f>
        <v/>
      </c>
      <c r="V88" s="13"/>
    </row>
    <row r="89" customFormat="false" ht="15" hidden="false" customHeight="false" outlineLevel="0" collapsed="false">
      <c r="A89" s="13"/>
      <c r="B89" s="14"/>
      <c r="C89" s="13"/>
      <c r="D89" s="13"/>
      <c r="E89" s="13"/>
      <c r="F89" s="13"/>
      <c r="G89" s="13"/>
      <c r="H89" s="13"/>
      <c r="I89" s="14"/>
      <c r="J89" s="14"/>
      <c r="K89" s="8" t="str">
        <f aca="false">IF(AND(ISNUMBER(B89),ISNUMBER(J89)),NETWORKDAYS(B89,J89,$Y$6:$Y$40)-1,"")</f>
        <v/>
      </c>
      <c r="L89" s="8" t="str">
        <f aca="false">IF(B89="","",IF(H89="Y",$B$8,$B$7))</f>
        <v/>
      </c>
      <c r="M89" s="8" t="str">
        <f aca="false">IF(K89="","",IF(K89&lt;=L89,"Yes","No"))</f>
        <v/>
      </c>
      <c r="N89" s="13"/>
      <c r="O89" s="13"/>
      <c r="P89" s="13"/>
      <c r="Q89" s="13"/>
      <c r="R89" s="14"/>
      <c r="S89" s="14"/>
      <c r="T89" s="8" t="str">
        <f aca="false">IF(AND(ISNUMBER(R89),ISNUMBER(S89)),NETWORKDAYS(R89,S89,$Y$6:$Y$40)-1,"")</f>
        <v/>
      </c>
      <c r="U89" s="8" t="str">
        <f aca="false">IF(T89="","",IF(T89&lt;=$B$10,"Yes","No"))</f>
        <v/>
      </c>
      <c r="V89" s="13"/>
    </row>
    <row r="90" customFormat="false" ht="15" hidden="false" customHeight="false" outlineLevel="0" collapsed="false">
      <c r="A90" s="13"/>
      <c r="B90" s="14"/>
      <c r="C90" s="13"/>
      <c r="D90" s="13"/>
      <c r="E90" s="13"/>
      <c r="F90" s="13"/>
      <c r="G90" s="13"/>
      <c r="H90" s="13"/>
      <c r="I90" s="14"/>
      <c r="J90" s="14"/>
      <c r="K90" s="8" t="str">
        <f aca="false">IF(AND(ISNUMBER(B90),ISNUMBER(J90)),NETWORKDAYS(B90,J90,$Y$6:$Y$40)-1,"")</f>
        <v/>
      </c>
      <c r="L90" s="8" t="str">
        <f aca="false">IF(B90="","",IF(H90="Y",$B$8,$B$7))</f>
        <v/>
      </c>
      <c r="M90" s="8" t="str">
        <f aca="false">IF(K90="","",IF(K90&lt;=L90,"Yes","No"))</f>
        <v/>
      </c>
      <c r="N90" s="13"/>
      <c r="O90" s="13"/>
      <c r="P90" s="13"/>
      <c r="Q90" s="13"/>
      <c r="R90" s="14"/>
      <c r="S90" s="14"/>
      <c r="T90" s="8" t="str">
        <f aca="false">IF(AND(ISNUMBER(R90),ISNUMBER(S90)),NETWORKDAYS(R90,S90,$Y$6:$Y$40)-1,"")</f>
        <v/>
      </c>
      <c r="U90" s="8" t="str">
        <f aca="false">IF(T90="","",IF(T90&lt;=$B$10,"Yes","No"))</f>
        <v/>
      </c>
      <c r="V90" s="13"/>
    </row>
    <row r="91" customFormat="false" ht="15" hidden="false" customHeight="false" outlineLevel="0" collapsed="false">
      <c r="A91" s="13"/>
      <c r="B91" s="14"/>
      <c r="C91" s="13"/>
      <c r="D91" s="13"/>
      <c r="E91" s="13"/>
      <c r="F91" s="13"/>
      <c r="G91" s="13"/>
      <c r="H91" s="13"/>
      <c r="I91" s="14"/>
      <c r="J91" s="14"/>
      <c r="K91" s="8" t="str">
        <f aca="false">IF(AND(ISNUMBER(B91),ISNUMBER(J91)),NETWORKDAYS(B91,J91,$Y$6:$Y$40)-1,"")</f>
        <v/>
      </c>
      <c r="L91" s="8" t="str">
        <f aca="false">IF(B91="","",IF(H91="Y",$B$8,$B$7))</f>
        <v/>
      </c>
      <c r="M91" s="8" t="str">
        <f aca="false">IF(K91="","",IF(K91&lt;=L91,"Yes","No"))</f>
        <v/>
      </c>
      <c r="N91" s="13"/>
      <c r="O91" s="13"/>
      <c r="P91" s="13"/>
      <c r="Q91" s="13"/>
      <c r="R91" s="14"/>
      <c r="S91" s="14"/>
      <c r="T91" s="8" t="str">
        <f aca="false">IF(AND(ISNUMBER(R91),ISNUMBER(S91)),NETWORKDAYS(R91,S91,$Y$6:$Y$40)-1,"")</f>
        <v/>
      </c>
      <c r="U91" s="8" t="str">
        <f aca="false">IF(T91="","",IF(T91&lt;=$B$10,"Yes","No"))</f>
        <v/>
      </c>
      <c r="V91" s="13"/>
    </row>
    <row r="92" customFormat="false" ht="15" hidden="false" customHeight="false" outlineLevel="0" collapsed="false">
      <c r="A92" s="13"/>
      <c r="B92" s="14"/>
      <c r="C92" s="13"/>
      <c r="D92" s="13"/>
      <c r="E92" s="13"/>
      <c r="F92" s="13"/>
      <c r="G92" s="13"/>
      <c r="H92" s="13"/>
      <c r="I92" s="14"/>
      <c r="J92" s="14"/>
      <c r="K92" s="8" t="str">
        <f aca="false">IF(AND(ISNUMBER(B92),ISNUMBER(J92)),NETWORKDAYS(B92,J92,$Y$6:$Y$40)-1,"")</f>
        <v/>
      </c>
      <c r="L92" s="8" t="str">
        <f aca="false">IF(B92="","",IF(H92="Y",$B$8,$B$7))</f>
        <v/>
      </c>
      <c r="M92" s="8" t="str">
        <f aca="false">IF(K92="","",IF(K92&lt;=L92,"Yes","No"))</f>
        <v/>
      </c>
      <c r="N92" s="13"/>
      <c r="O92" s="13"/>
      <c r="P92" s="13"/>
      <c r="Q92" s="13"/>
      <c r="R92" s="14"/>
      <c r="S92" s="14"/>
      <c r="T92" s="8" t="str">
        <f aca="false">IF(AND(ISNUMBER(R92),ISNUMBER(S92)),NETWORKDAYS(R92,S92,$Y$6:$Y$40)-1,"")</f>
        <v/>
      </c>
      <c r="U92" s="8" t="str">
        <f aca="false">IF(T92="","",IF(T92&lt;=$B$10,"Yes","No"))</f>
        <v/>
      </c>
      <c r="V92" s="13"/>
    </row>
    <row r="93" customFormat="false" ht="15" hidden="false" customHeight="false" outlineLevel="0" collapsed="false">
      <c r="A93" s="13"/>
      <c r="B93" s="14"/>
      <c r="C93" s="13"/>
      <c r="D93" s="13"/>
      <c r="E93" s="13"/>
      <c r="F93" s="13"/>
      <c r="G93" s="13"/>
      <c r="H93" s="13"/>
      <c r="I93" s="14"/>
      <c r="J93" s="14"/>
      <c r="K93" s="8" t="str">
        <f aca="false">IF(AND(ISNUMBER(B93),ISNUMBER(J93)),NETWORKDAYS(B93,J93,$Y$6:$Y$40)-1,"")</f>
        <v/>
      </c>
      <c r="L93" s="8" t="str">
        <f aca="false">IF(B93="","",IF(H93="Y",$B$8,$B$7))</f>
        <v/>
      </c>
      <c r="M93" s="8" t="str">
        <f aca="false">IF(K93="","",IF(K93&lt;=L93,"Yes","No"))</f>
        <v/>
      </c>
      <c r="N93" s="13"/>
      <c r="O93" s="13"/>
      <c r="P93" s="13"/>
      <c r="Q93" s="13"/>
      <c r="R93" s="14"/>
      <c r="S93" s="14"/>
      <c r="T93" s="8" t="str">
        <f aca="false">IF(AND(ISNUMBER(R93),ISNUMBER(S93)),NETWORKDAYS(R93,S93,$Y$6:$Y$40)-1,"")</f>
        <v/>
      </c>
      <c r="U93" s="8" t="str">
        <f aca="false">IF(T93="","",IF(T93&lt;=$B$10,"Yes","No"))</f>
        <v/>
      </c>
      <c r="V93" s="13"/>
    </row>
    <row r="94" customFormat="false" ht="15" hidden="false" customHeight="false" outlineLevel="0" collapsed="false">
      <c r="A94" s="13"/>
      <c r="B94" s="14"/>
      <c r="C94" s="13"/>
      <c r="D94" s="13"/>
      <c r="E94" s="13"/>
      <c r="F94" s="13"/>
      <c r="G94" s="13"/>
      <c r="H94" s="13"/>
      <c r="I94" s="14"/>
      <c r="J94" s="14"/>
      <c r="K94" s="8" t="str">
        <f aca="false">IF(AND(ISNUMBER(B94),ISNUMBER(J94)),NETWORKDAYS(B94,J94,$Y$6:$Y$40)-1,"")</f>
        <v/>
      </c>
      <c r="L94" s="8" t="str">
        <f aca="false">IF(B94="","",IF(H94="Y",$B$8,$B$7))</f>
        <v/>
      </c>
      <c r="M94" s="8" t="str">
        <f aca="false">IF(K94="","",IF(K94&lt;=L94,"Yes","No"))</f>
        <v/>
      </c>
      <c r="N94" s="13"/>
      <c r="O94" s="13"/>
      <c r="P94" s="13"/>
      <c r="Q94" s="13"/>
      <c r="R94" s="14"/>
      <c r="S94" s="14"/>
      <c r="T94" s="8" t="str">
        <f aca="false">IF(AND(ISNUMBER(R94),ISNUMBER(S94)),NETWORKDAYS(R94,S94,$Y$6:$Y$40)-1,"")</f>
        <v/>
      </c>
      <c r="U94" s="8" t="str">
        <f aca="false">IF(T94="","",IF(T94&lt;=$B$10,"Yes","No"))</f>
        <v/>
      </c>
      <c r="V94" s="13"/>
    </row>
    <row r="95" customFormat="false" ht="15" hidden="false" customHeight="false" outlineLevel="0" collapsed="false">
      <c r="A95" s="13"/>
      <c r="B95" s="14"/>
      <c r="C95" s="13"/>
      <c r="D95" s="13"/>
      <c r="E95" s="13"/>
      <c r="F95" s="13"/>
      <c r="G95" s="13"/>
      <c r="H95" s="13"/>
      <c r="I95" s="14"/>
      <c r="J95" s="14"/>
      <c r="K95" s="8" t="str">
        <f aca="false">IF(AND(ISNUMBER(B95),ISNUMBER(J95)),NETWORKDAYS(B95,J95,$Y$6:$Y$40)-1,"")</f>
        <v/>
      </c>
      <c r="L95" s="8" t="str">
        <f aca="false">IF(B95="","",IF(H95="Y",$B$8,$B$7))</f>
        <v/>
      </c>
      <c r="M95" s="8" t="str">
        <f aca="false">IF(K95="","",IF(K95&lt;=L95,"Yes","No"))</f>
        <v/>
      </c>
      <c r="N95" s="13"/>
      <c r="O95" s="13"/>
      <c r="P95" s="13"/>
      <c r="Q95" s="13"/>
      <c r="R95" s="14"/>
      <c r="S95" s="14"/>
      <c r="T95" s="8" t="str">
        <f aca="false">IF(AND(ISNUMBER(R95),ISNUMBER(S95)),NETWORKDAYS(R95,S95,$Y$6:$Y$40)-1,"")</f>
        <v/>
      </c>
      <c r="U95" s="8" t="str">
        <f aca="false">IF(T95="","",IF(T95&lt;=$B$10,"Yes","No"))</f>
        <v/>
      </c>
      <c r="V95" s="13"/>
    </row>
    <row r="96" customFormat="false" ht="15" hidden="false" customHeight="false" outlineLevel="0" collapsed="false">
      <c r="A96" s="13"/>
      <c r="B96" s="14"/>
      <c r="C96" s="13"/>
      <c r="D96" s="13"/>
      <c r="E96" s="13"/>
      <c r="F96" s="13"/>
      <c r="G96" s="13"/>
      <c r="H96" s="13"/>
      <c r="I96" s="14"/>
      <c r="J96" s="14"/>
      <c r="K96" s="8" t="str">
        <f aca="false">IF(AND(ISNUMBER(B96),ISNUMBER(J96)),NETWORKDAYS(B96,J96,$Y$6:$Y$40)-1,"")</f>
        <v/>
      </c>
      <c r="L96" s="8" t="str">
        <f aca="false">IF(B96="","",IF(H96="Y",$B$8,$B$7))</f>
        <v/>
      </c>
      <c r="M96" s="8" t="str">
        <f aca="false">IF(K96="","",IF(K96&lt;=L96,"Yes","No"))</f>
        <v/>
      </c>
      <c r="N96" s="13"/>
      <c r="O96" s="13"/>
      <c r="P96" s="13"/>
      <c r="Q96" s="13"/>
      <c r="R96" s="14"/>
      <c r="S96" s="14"/>
      <c r="T96" s="8" t="str">
        <f aca="false">IF(AND(ISNUMBER(R96),ISNUMBER(S96)),NETWORKDAYS(R96,S96,$Y$6:$Y$40)-1,"")</f>
        <v/>
      </c>
      <c r="U96" s="8" t="str">
        <f aca="false">IF(T96="","",IF(T96&lt;=$B$10,"Yes","No"))</f>
        <v/>
      </c>
      <c r="V96" s="13"/>
    </row>
    <row r="97" customFormat="false" ht="15" hidden="false" customHeight="false" outlineLevel="0" collapsed="false">
      <c r="A97" s="13"/>
      <c r="B97" s="14"/>
      <c r="C97" s="13"/>
      <c r="D97" s="13"/>
      <c r="E97" s="13"/>
      <c r="F97" s="13"/>
      <c r="G97" s="13"/>
      <c r="H97" s="13"/>
      <c r="I97" s="14"/>
      <c r="J97" s="14"/>
      <c r="K97" s="8" t="str">
        <f aca="false">IF(AND(ISNUMBER(B97),ISNUMBER(J97)),NETWORKDAYS(B97,J97,$Y$6:$Y$40)-1,"")</f>
        <v/>
      </c>
      <c r="L97" s="8" t="str">
        <f aca="false">IF(B97="","",IF(H97="Y",$B$8,$B$7))</f>
        <v/>
      </c>
      <c r="M97" s="8" t="str">
        <f aca="false">IF(K97="","",IF(K97&lt;=L97,"Yes","No"))</f>
        <v/>
      </c>
      <c r="N97" s="13"/>
      <c r="O97" s="13"/>
      <c r="P97" s="13"/>
      <c r="Q97" s="13"/>
      <c r="R97" s="14"/>
      <c r="S97" s="14"/>
      <c r="T97" s="8" t="str">
        <f aca="false">IF(AND(ISNUMBER(R97),ISNUMBER(S97)),NETWORKDAYS(R97,S97,$Y$6:$Y$40)-1,"")</f>
        <v/>
      </c>
      <c r="U97" s="8" t="str">
        <f aca="false">IF(T97="","",IF(T97&lt;=$B$10,"Yes","No"))</f>
        <v/>
      </c>
      <c r="V97" s="13"/>
    </row>
    <row r="98" customFormat="false" ht="15" hidden="false" customHeight="false" outlineLevel="0" collapsed="false">
      <c r="A98" s="13"/>
      <c r="B98" s="14"/>
      <c r="C98" s="13"/>
      <c r="D98" s="13"/>
      <c r="E98" s="13"/>
      <c r="F98" s="13"/>
      <c r="G98" s="13"/>
      <c r="H98" s="13"/>
      <c r="I98" s="14"/>
      <c r="J98" s="14"/>
      <c r="K98" s="8" t="str">
        <f aca="false">IF(AND(ISNUMBER(B98),ISNUMBER(J98)),NETWORKDAYS(B98,J98,$Y$6:$Y$40)-1,"")</f>
        <v/>
      </c>
      <c r="L98" s="8" t="str">
        <f aca="false">IF(B98="","",IF(H98="Y",$B$8,$B$7))</f>
        <v/>
      </c>
      <c r="M98" s="8" t="str">
        <f aca="false">IF(K98="","",IF(K98&lt;=L98,"Yes","No"))</f>
        <v/>
      </c>
      <c r="N98" s="13"/>
      <c r="O98" s="13"/>
      <c r="P98" s="13"/>
      <c r="Q98" s="13"/>
      <c r="R98" s="14"/>
      <c r="S98" s="14"/>
      <c r="T98" s="8" t="str">
        <f aca="false">IF(AND(ISNUMBER(R98),ISNUMBER(S98)),NETWORKDAYS(R98,S98,$Y$6:$Y$40)-1,"")</f>
        <v/>
      </c>
      <c r="U98" s="8" t="str">
        <f aca="false">IF(T98="","",IF(T98&lt;=$B$10,"Yes","No"))</f>
        <v/>
      </c>
      <c r="V98" s="13"/>
    </row>
    <row r="99" customFormat="false" ht="15" hidden="false" customHeight="false" outlineLevel="0" collapsed="false">
      <c r="A99" s="13"/>
      <c r="B99" s="14"/>
      <c r="C99" s="13"/>
      <c r="D99" s="13"/>
      <c r="E99" s="13"/>
      <c r="F99" s="13"/>
      <c r="G99" s="13"/>
      <c r="H99" s="13"/>
      <c r="I99" s="14"/>
      <c r="J99" s="14"/>
      <c r="K99" s="8" t="str">
        <f aca="false">IF(AND(ISNUMBER(B99),ISNUMBER(J99)),NETWORKDAYS(B99,J99,$Y$6:$Y$40)-1,"")</f>
        <v/>
      </c>
      <c r="L99" s="8" t="str">
        <f aca="false">IF(B99="","",IF(H99="Y",$B$8,$B$7))</f>
        <v/>
      </c>
      <c r="M99" s="8" t="str">
        <f aca="false">IF(K99="","",IF(K99&lt;=L99,"Yes","No"))</f>
        <v/>
      </c>
      <c r="N99" s="13"/>
      <c r="O99" s="13"/>
      <c r="P99" s="13"/>
      <c r="Q99" s="13"/>
      <c r="R99" s="14"/>
      <c r="S99" s="14"/>
      <c r="T99" s="8" t="str">
        <f aca="false">IF(AND(ISNUMBER(R99),ISNUMBER(S99)),NETWORKDAYS(R99,S99,$Y$6:$Y$40)-1,"")</f>
        <v/>
      </c>
      <c r="U99" s="8" t="str">
        <f aca="false">IF(T99="","",IF(T99&lt;=$B$10,"Yes","No"))</f>
        <v/>
      </c>
      <c r="V99" s="13"/>
    </row>
    <row r="100" customFormat="false" ht="15" hidden="false" customHeight="false" outlineLevel="0" collapsed="false">
      <c r="A100" s="13"/>
      <c r="B100" s="14"/>
      <c r="C100" s="13"/>
      <c r="D100" s="13"/>
      <c r="E100" s="13"/>
      <c r="F100" s="13"/>
      <c r="G100" s="13"/>
      <c r="H100" s="13"/>
      <c r="I100" s="14"/>
      <c r="J100" s="14"/>
      <c r="K100" s="8" t="str">
        <f aca="false">IF(AND(ISNUMBER(B100),ISNUMBER(J100)),NETWORKDAYS(B100,J100,$Y$6:$Y$40)-1,"")</f>
        <v/>
      </c>
      <c r="L100" s="8" t="str">
        <f aca="false">IF(B100="","",IF(H100="Y",$B$8,$B$7))</f>
        <v/>
      </c>
      <c r="M100" s="8" t="str">
        <f aca="false">IF(K100="","",IF(K100&lt;=L100,"Yes","No"))</f>
        <v/>
      </c>
      <c r="N100" s="13"/>
      <c r="O100" s="13"/>
      <c r="P100" s="13"/>
      <c r="Q100" s="13"/>
      <c r="R100" s="14"/>
      <c r="S100" s="14"/>
      <c r="T100" s="8" t="str">
        <f aca="false">IF(AND(ISNUMBER(R100),ISNUMBER(S100)),NETWORKDAYS(R100,S100,$Y$6:$Y$40)-1,"")</f>
        <v/>
      </c>
      <c r="U100" s="8" t="str">
        <f aca="false">IF(T100="","",IF(T100&lt;=$B$10,"Yes","No"))</f>
        <v/>
      </c>
      <c r="V100" s="13"/>
    </row>
    <row r="101" customFormat="false" ht="15" hidden="false" customHeight="false" outlineLevel="0" collapsed="false">
      <c r="A101" s="13"/>
      <c r="B101" s="14"/>
      <c r="C101" s="13"/>
      <c r="D101" s="13"/>
      <c r="E101" s="13"/>
      <c r="F101" s="13"/>
      <c r="G101" s="13"/>
      <c r="H101" s="13"/>
      <c r="I101" s="14"/>
      <c r="J101" s="14"/>
      <c r="K101" s="8" t="str">
        <f aca="false">IF(AND(ISNUMBER(B101),ISNUMBER(J101)),NETWORKDAYS(B101,J101,$Y$6:$Y$40)-1,"")</f>
        <v/>
      </c>
      <c r="L101" s="8" t="str">
        <f aca="false">IF(B101="","",IF(H101="Y",$B$8,$B$7))</f>
        <v/>
      </c>
      <c r="M101" s="8" t="str">
        <f aca="false">IF(K101="","",IF(K101&lt;=L101,"Yes","No"))</f>
        <v/>
      </c>
      <c r="N101" s="13"/>
      <c r="O101" s="13"/>
      <c r="P101" s="13"/>
      <c r="Q101" s="13"/>
      <c r="R101" s="14"/>
      <c r="S101" s="14"/>
      <c r="T101" s="8" t="str">
        <f aca="false">IF(AND(ISNUMBER(R101),ISNUMBER(S101)),NETWORKDAYS(R101,S101,$Y$6:$Y$40)-1,"")</f>
        <v/>
      </c>
      <c r="U101" s="8" t="str">
        <f aca="false">IF(T101="","",IF(T101&lt;=$B$10,"Yes","No"))</f>
        <v/>
      </c>
      <c r="V101" s="13"/>
    </row>
    <row r="102" customFormat="false" ht="15" hidden="false" customHeight="false" outlineLevel="0" collapsed="false">
      <c r="A102" s="13"/>
      <c r="B102" s="14"/>
      <c r="C102" s="13"/>
      <c r="D102" s="13"/>
      <c r="E102" s="13"/>
      <c r="F102" s="13"/>
      <c r="G102" s="13"/>
      <c r="H102" s="13"/>
      <c r="I102" s="14"/>
      <c r="J102" s="14"/>
      <c r="K102" s="8" t="str">
        <f aca="false">IF(AND(ISNUMBER(B102),ISNUMBER(J102)),NETWORKDAYS(B102,J102,$Y$6:$Y$40)-1,"")</f>
        <v/>
      </c>
      <c r="L102" s="8" t="str">
        <f aca="false">IF(B102="","",IF(H102="Y",$B$8,$B$7))</f>
        <v/>
      </c>
      <c r="M102" s="8" t="str">
        <f aca="false">IF(K102="","",IF(K102&lt;=L102,"Yes","No"))</f>
        <v/>
      </c>
      <c r="N102" s="13"/>
      <c r="O102" s="13"/>
      <c r="P102" s="13"/>
      <c r="Q102" s="13"/>
      <c r="R102" s="14"/>
      <c r="S102" s="14"/>
      <c r="T102" s="8" t="str">
        <f aca="false">IF(AND(ISNUMBER(R102),ISNUMBER(S102)),NETWORKDAYS(R102,S102,$Y$6:$Y$40)-1,"")</f>
        <v/>
      </c>
      <c r="U102" s="8" t="str">
        <f aca="false">IF(T102="","",IF(T102&lt;=$B$10,"Yes","No"))</f>
        <v/>
      </c>
      <c r="V102" s="13"/>
    </row>
    <row r="103" customFormat="false" ht="15" hidden="false" customHeight="false" outlineLevel="0" collapsed="false">
      <c r="A103" s="13"/>
      <c r="B103" s="14"/>
      <c r="C103" s="13"/>
      <c r="D103" s="13"/>
      <c r="E103" s="13"/>
      <c r="F103" s="13"/>
      <c r="G103" s="13"/>
      <c r="H103" s="13"/>
      <c r="I103" s="14"/>
      <c r="J103" s="14"/>
      <c r="K103" s="8" t="str">
        <f aca="false">IF(AND(ISNUMBER(B103),ISNUMBER(J103)),NETWORKDAYS(B103,J103,$Y$6:$Y$40)-1,"")</f>
        <v/>
      </c>
      <c r="L103" s="8" t="str">
        <f aca="false">IF(B103="","",IF(H103="Y",$B$8,$B$7))</f>
        <v/>
      </c>
      <c r="M103" s="8" t="str">
        <f aca="false">IF(K103="","",IF(K103&lt;=L103,"Yes","No"))</f>
        <v/>
      </c>
      <c r="N103" s="13"/>
      <c r="O103" s="13"/>
      <c r="P103" s="13"/>
      <c r="Q103" s="13"/>
      <c r="R103" s="14"/>
      <c r="S103" s="14"/>
      <c r="T103" s="8" t="str">
        <f aca="false">IF(AND(ISNUMBER(R103),ISNUMBER(S103)),NETWORKDAYS(R103,S103,$Y$6:$Y$40)-1,"")</f>
        <v/>
      </c>
      <c r="U103" s="8" t="str">
        <f aca="false">IF(T103="","",IF(T103&lt;=$B$10,"Yes","No"))</f>
        <v/>
      </c>
      <c r="V103" s="13"/>
    </row>
    <row r="104" customFormat="false" ht="15" hidden="false" customHeight="false" outlineLevel="0" collapsed="false">
      <c r="A104" s="13"/>
      <c r="B104" s="14"/>
      <c r="C104" s="13"/>
      <c r="D104" s="13"/>
      <c r="E104" s="13"/>
      <c r="F104" s="13"/>
      <c r="G104" s="13"/>
      <c r="H104" s="13"/>
      <c r="I104" s="14"/>
      <c r="J104" s="14"/>
      <c r="K104" s="8" t="str">
        <f aca="false">IF(AND(ISNUMBER(B104),ISNUMBER(J104)),NETWORKDAYS(B104,J104,$Y$6:$Y$40)-1,"")</f>
        <v/>
      </c>
      <c r="L104" s="8" t="str">
        <f aca="false">IF(B104="","",IF(H104="Y",$B$8,$B$7))</f>
        <v/>
      </c>
      <c r="M104" s="8" t="str">
        <f aca="false">IF(K104="","",IF(K104&lt;=L104,"Yes","No"))</f>
        <v/>
      </c>
      <c r="N104" s="13"/>
      <c r="O104" s="13"/>
      <c r="P104" s="13"/>
      <c r="Q104" s="13"/>
      <c r="R104" s="14"/>
      <c r="S104" s="14"/>
      <c r="T104" s="8" t="str">
        <f aca="false">IF(AND(ISNUMBER(R104),ISNUMBER(S104)),NETWORKDAYS(R104,S104,$Y$6:$Y$40)-1,"")</f>
        <v/>
      </c>
      <c r="U104" s="8" t="str">
        <f aca="false">IF(T104="","",IF(T104&lt;=$B$10,"Yes","No"))</f>
        <v/>
      </c>
      <c r="V104" s="13"/>
    </row>
    <row r="105" customFormat="false" ht="15" hidden="false" customHeight="false" outlineLevel="0" collapsed="false">
      <c r="A105" s="13"/>
      <c r="B105" s="14"/>
      <c r="C105" s="13"/>
      <c r="D105" s="13"/>
      <c r="E105" s="13"/>
      <c r="F105" s="13"/>
      <c r="G105" s="13"/>
      <c r="H105" s="13"/>
      <c r="I105" s="14"/>
      <c r="J105" s="14"/>
      <c r="K105" s="8" t="str">
        <f aca="false">IF(AND(ISNUMBER(B105),ISNUMBER(J105)),NETWORKDAYS(B105,J105,$Y$6:$Y$40)-1,"")</f>
        <v/>
      </c>
      <c r="L105" s="8" t="str">
        <f aca="false">IF(B105="","",IF(H105="Y",$B$8,$B$7))</f>
        <v/>
      </c>
      <c r="M105" s="8" t="str">
        <f aca="false">IF(K105="","",IF(K105&lt;=L105,"Yes","No"))</f>
        <v/>
      </c>
      <c r="N105" s="13"/>
      <c r="O105" s="13"/>
      <c r="P105" s="13"/>
      <c r="Q105" s="13"/>
      <c r="R105" s="14"/>
      <c r="S105" s="14"/>
      <c r="T105" s="8" t="str">
        <f aca="false">IF(AND(ISNUMBER(R105),ISNUMBER(S105)),NETWORKDAYS(R105,S105,$Y$6:$Y$40)-1,"")</f>
        <v/>
      </c>
      <c r="U105" s="8" t="str">
        <f aca="false">IF(T105="","",IF(T105&lt;=$B$10,"Yes","No"))</f>
        <v/>
      </c>
      <c r="V105" s="13"/>
    </row>
    <row r="106" customFormat="false" ht="15" hidden="false" customHeight="false" outlineLevel="0" collapsed="false">
      <c r="A106" s="13"/>
      <c r="B106" s="14"/>
      <c r="C106" s="13"/>
      <c r="D106" s="13"/>
      <c r="E106" s="13"/>
      <c r="F106" s="13"/>
      <c r="G106" s="13"/>
      <c r="H106" s="13"/>
      <c r="I106" s="14"/>
      <c r="J106" s="14"/>
      <c r="K106" s="8" t="str">
        <f aca="false">IF(AND(ISNUMBER(B106),ISNUMBER(J106)),NETWORKDAYS(B106,J106,$Y$6:$Y$40)-1,"")</f>
        <v/>
      </c>
      <c r="L106" s="8" t="str">
        <f aca="false">IF(B106="","",IF(H106="Y",$B$8,$B$7))</f>
        <v/>
      </c>
      <c r="M106" s="8" t="str">
        <f aca="false">IF(K106="","",IF(K106&lt;=L106,"Yes","No"))</f>
        <v/>
      </c>
      <c r="N106" s="13"/>
      <c r="O106" s="13"/>
      <c r="P106" s="13"/>
      <c r="Q106" s="13"/>
      <c r="R106" s="14"/>
      <c r="S106" s="14"/>
      <c r="T106" s="8" t="str">
        <f aca="false">IF(AND(ISNUMBER(R106),ISNUMBER(S106)),NETWORKDAYS(R106,S106,$Y$6:$Y$40)-1,"")</f>
        <v/>
      </c>
      <c r="U106" s="8" t="str">
        <f aca="false">IF(T106="","",IF(T106&lt;=$B$10,"Yes","No"))</f>
        <v/>
      </c>
      <c r="V106" s="13"/>
    </row>
    <row r="107" customFormat="false" ht="15" hidden="false" customHeight="false" outlineLevel="0" collapsed="false">
      <c r="A107" s="13"/>
      <c r="B107" s="14"/>
      <c r="C107" s="13"/>
      <c r="D107" s="13"/>
      <c r="E107" s="13"/>
      <c r="F107" s="13"/>
      <c r="G107" s="13"/>
      <c r="H107" s="13"/>
      <c r="I107" s="14"/>
      <c r="J107" s="14"/>
      <c r="K107" s="8" t="str">
        <f aca="false">IF(AND(ISNUMBER(B107),ISNUMBER(J107)),NETWORKDAYS(B107,J107,$Y$6:$Y$40)-1,"")</f>
        <v/>
      </c>
      <c r="L107" s="8" t="str">
        <f aca="false">IF(B107="","",IF(H107="Y",$B$8,$B$7))</f>
        <v/>
      </c>
      <c r="M107" s="8" t="str">
        <f aca="false">IF(K107="","",IF(K107&lt;=L107,"Yes","No"))</f>
        <v/>
      </c>
      <c r="N107" s="13"/>
      <c r="O107" s="13"/>
      <c r="P107" s="13"/>
      <c r="Q107" s="13"/>
      <c r="R107" s="14"/>
      <c r="S107" s="14"/>
      <c r="T107" s="8" t="str">
        <f aca="false">IF(AND(ISNUMBER(R107),ISNUMBER(S107)),NETWORKDAYS(R107,S107,$Y$6:$Y$40)-1,"")</f>
        <v/>
      </c>
      <c r="U107" s="8" t="str">
        <f aca="false">IF(T107="","",IF(T107&lt;=$B$10,"Yes","No"))</f>
        <v/>
      </c>
      <c r="V107" s="13"/>
    </row>
    <row r="108" customFormat="false" ht="15" hidden="false" customHeight="false" outlineLevel="0" collapsed="false">
      <c r="A108" s="13"/>
      <c r="B108" s="14"/>
      <c r="C108" s="13"/>
      <c r="D108" s="13"/>
      <c r="E108" s="13"/>
      <c r="F108" s="13"/>
      <c r="G108" s="13"/>
      <c r="H108" s="13"/>
      <c r="I108" s="14"/>
      <c r="J108" s="14"/>
      <c r="K108" s="8" t="str">
        <f aca="false">IF(AND(ISNUMBER(B108),ISNUMBER(J108)),NETWORKDAYS(B108,J108,$Y$6:$Y$40)-1,"")</f>
        <v/>
      </c>
      <c r="L108" s="8" t="str">
        <f aca="false">IF(B108="","",IF(H108="Y",$B$8,$B$7))</f>
        <v/>
      </c>
      <c r="M108" s="8" t="str">
        <f aca="false">IF(K108="","",IF(K108&lt;=L108,"Yes","No"))</f>
        <v/>
      </c>
      <c r="N108" s="13"/>
      <c r="O108" s="13"/>
      <c r="P108" s="13"/>
      <c r="Q108" s="13"/>
      <c r="R108" s="14"/>
      <c r="S108" s="14"/>
      <c r="T108" s="8" t="str">
        <f aca="false">IF(AND(ISNUMBER(R108),ISNUMBER(S108)),NETWORKDAYS(R108,S108,$Y$6:$Y$40)-1,"")</f>
        <v/>
      </c>
      <c r="U108" s="8" t="str">
        <f aca="false">IF(T108="","",IF(T108&lt;=$B$10,"Yes","No"))</f>
        <v/>
      </c>
      <c r="V108" s="13"/>
    </row>
    <row r="109" customFormat="false" ht="15" hidden="false" customHeight="false" outlineLevel="0" collapsed="false">
      <c r="A109" s="13"/>
      <c r="B109" s="14"/>
      <c r="C109" s="13"/>
      <c r="D109" s="13"/>
      <c r="E109" s="13"/>
      <c r="F109" s="13"/>
      <c r="G109" s="13"/>
      <c r="H109" s="13"/>
      <c r="I109" s="14"/>
      <c r="J109" s="14"/>
      <c r="K109" s="8" t="str">
        <f aca="false">IF(AND(ISNUMBER(B109),ISNUMBER(J109)),NETWORKDAYS(B109,J109,$Y$6:$Y$40)-1,"")</f>
        <v/>
      </c>
      <c r="L109" s="8" t="str">
        <f aca="false">IF(B109="","",IF(H109="Y",$B$8,$B$7))</f>
        <v/>
      </c>
      <c r="M109" s="8" t="str">
        <f aca="false">IF(K109="","",IF(K109&lt;=L109,"Yes","No"))</f>
        <v/>
      </c>
      <c r="N109" s="13"/>
      <c r="O109" s="13"/>
      <c r="P109" s="13"/>
      <c r="Q109" s="13"/>
      <c r="R109" s="14"/>
      <c r="S109" s="14"/>
      <c r="T109" s="8" t="str">
        <f aca="false">IF(AND(ISNUMBER(R109),ISNUMBER(S109)),NETWORKDAYS(R109,S109,$Y$6:$Y$40)-1,"")</f>
        <v/>
      </c>
      <c r="U109" s="8" t="str">
        <f aca="false">IF(T109="","",IF(T109&lt;=$B$10,"Yes","No"))</f>
        <v/>
      </c>
      <c r="V109" s="13"/>
    </row>
    <row r="110" customFormat="false" ht="15" hidden="false" customHeight="false" outlineLevel="0" collapsed="false">
      <c r="A110" s="13"/>
      <c r="B110" s="14"/>
      <c r="C110" s="13"/>
      <c r="D110" s="13"/>
      <c r="E110" s="13"/>
      <c r="F110" s="13"/>
      <c r="G110" s="13"/>
      <c r="H110" s="13"/>
      <c r="I110" s="14"/>
      <c r="J110" s="14"/>
      <c r="K110" s="8" t="str">
        <f aca="false">IF(AND(ISNUMBER(B110),ISNUMBER(J110)),NETWORKDAYS(B110,J110,$Y$6:$Y$40)-1,"")</f>
        <v/>
      </c>
      <c r="L110" s="8" t="str">
        <f aca="false">IF(B110="","",IF(H110="Y",$B$8,$B$7))</f>
        <v/>
      </c>
      <c r="M110" s="8" t="str">
        <f aca="false">IF(K110="","",IF(K110&lt;=L110,"Yes","No"))</f>
        <v/>
      </c>
      <c r="N110" s="13"/>
      <c r="O110" s="13"/>
      <c r="P110" s="13"/>
      <c r="Q110" s="13"/>
      <c r="R110" s="14"/>
      <c r="S110" s="14"/>
      <c r="T110" s="8" t="str">
        <f aca="false">IF(AND(ISNUMBER(R110),ISNUMBER(S110)),NETWORKDAYS(R110,S110,$Y$6:$Y$40)-1,"")</f>
        <v/>
      </c>
      <c r="U110" s="8" t="str">
        <f aca="false">IF(T110="","",IF(T110&lt;=$B$10,"Yes","No"))</f>
        <v/>
      </c>
      <c r="V110" s="13"/>
    </row>
    <row r="111" customFormat="false" ht="15" hidden="false" customHeight="false" outlineLevel="0" collapsed="false">
      <c r="A111" s="13"/>
      <c r="B111" s="14"/>
      <c r="C111" s="13"/>
      <c r="D111" s="13"/>
      <c r="E111" s="13"/>
      <c r="F111" s="13"/>
      <c r="G111" s="13"/>
      <c r="H111" s="13"/>
      <c r="I111" s="14"/>
      <c r="J111" s="14"/>
      <c r="K111" s="8" t="str">
        <f aca="false">IF(AND(ISNUMBER(B111),ISNUMBER(J111)),NETWORKDAYS(B111,J111,$Y$6:$Y$40)-1,"")</f>
        <v/>
      </c>
      <c r="L111" s="8" t="str">
        <f aca="false">IF(B111="","",IF(H111="Y",$B$8,$B$7))</f>
        <v/>
      </c>
      <c r="M111" s="8" t="str">
        <f aca="false">IF(K111="","",IF(K111&lt;=L111,"Yes","No"))</f>
        <v/>
      </c>
      <c r="N111" s="13"/>
      <c r="O111" s="13"/>
      <c r="P111" s="13"/>
      <c r="Q111" s="13"/>
      <c r="R111" s="14"/>
      <c r="S111" s="14"/>
      <c r="T111" s="8" t="str">
        <f aca="false">IF(AND(ISNUMBER(R111),ISNUMBER(S111)),NETWORKDAYS(R111,S111,$Y$6:$Y$40)-1,"")</f>
        <v/>
      </c>
      <c r="U111" s="8" t="str">
        <f aca="false">IF(T111="","",IF(T111&lt;=$B$10,"Yes","No"))</f>
        <v/>
      </c>
      <c r="V111" s="13"/>
    </row>
    <row r="112" customFormat="false" ht="15" hidden="false" customHeight="false" outlineLevel="0" collapsed="false">
      <c r="A112" s="13"/>
      <c r="B112" s="14"/>
      <c r="C112" s="13"/>
      <c r="D112" s="13"/>
      <c r="E112" s="13"/>
      <c r="F112" s="13"/>
      <c r="G112" s="13"/>
      <c r="H112" s="13"/>
      <c r="I112" s="14"/>
      <c r="J112" s="14"/>
      <c r="K112" s="8" t="str">
        <f aca="false">IF(AND(ISNUMBER(B112),ISNUMBER(J112)),NETWORKDAYS(B112,J112,$Y$6:$Y$40)-1,"")</f>
        <v/>
      </c>
      <c r="L112" s="8" t="str">
        <f aca="false">IF(B112="","",IF(H112="Y",$B$8,$B$7))</f>
        <v/>
      </c>
      <c r="M112" s="8" t="str">
        <f aca="false">IF(K112="","",IF(K112&lt;=L112,"Yes","No"))</f>
        <v/>
      </c>
      <c r="N112" s="13"/>
      <c r="O112" s="13"/>
      <c r="P112" s="13"/>
      <c r="Q112" s="13"/>
      <c r="R112" s="14"/>
      <c r="S112" s="14"/>
      <c r="T112" s="8" t="str">
        <f aca="false">IF(AND(ISNUMBER(R112),ISNUMBER(S112)),NETWORKDAYS(R112,S112,$Y$6:$Y$40)-1,"")</f>
        <v/>
      </c>
      <c r="U112" s="8" t="str">
        <f aca="false">IF(T112="","",IF(T112&lt;=$B$10,"Yes","No"))</f>
        <v/>
      </c>
      <c r="V112" s="13"/>
    </row>
    <row r="113" customFormat="false" ht="15" hidden="false" customHeight="false" outlineLevel="0" collapsed="false">
      <c r="A113" s="13"/>
      <c r="B113" s="14"/>
      <c r="C113" s="13"/>
      <c r="D113" s="13"/>
      <c r="E113" s="13"/>
      <c r="F113" s="13"/>
      <c r="G113" s="13"/>
      <c r="H113" s="13"/>
      <c r="I113" s="14"/>
      <c r="J113" s="14"/>
      <c r="K113" s="8" t="str">
        <f aca="false">IF(AND(ISNUMBER(B113),ISNUMBER(J113)),NETWORKDAYS(B113,J113,$Y$6:$Y$40)-1,"")</f>
        <v/>
      </c>
      <c r="L113" s="8" t="str">
        <f aca="false">IF(B113="","",IF(H113="Y",$B$8,$B$7))</f>
        <v/>
      </c>
      <c r="M113" s="8" t="str">
        <f aca="false">IF(K113="","",IF(K113&lt;=L113,"Yes","No"))</f>
        <v/>
      </c>
      <c r="N113" s="13"/>
      <c r="O113" s="13"/>
      <c r="P113" s="13"/>
      <c r="Q113" s="13"/>
      <c r="R113" s="14"/>
      <c r="S113" s="14"/>
      <c r="T113" s="8" t="str">
        <f aca="false">IF(AND(ISNUMBER(R113),ISNUMBER(S113)),NETWORKDAYS(R113,S113,$Y$6:$Y$40)-1,"")</f>
        <v/>
      </c>
      <c r="U113" s="8" t="str">
        <f aca="false">IF(T113="","",IF(T113&lt;=$B$10,"Yes","No"))</f>
        <v/>
      </c>
      <c r="V113" s="13"/>
    </row>
    <row r="114" customFormat="false" ht="15" hidden="false" customHeight="false" outlineLevel="0" collapsed="false">
      <c r="A114" s="13"/>
      <c r="B114" s="14"/>
      <c r="C114" s="13"/>
      <c r="D114" s="13"/>
      <c r="E114" s="13"/>
      <c r="F114" s="13"/>
      <c r="G114" s="13"/>
      <c r="H114" s="13"/>
      <c r="I114" s="14"/>
      <c r="J114" s="14"/>
      <c r="K114" s="8" t="str">
        <f aca="false">IF(AND(ISNUMBER(B114),ISNUMBER(J114)),NETWORKDAYS(B114,J114,$Y$6:$Y$40)-1,"")</f>
        <v/>
      </c>
      <c r="L114" s="8" t="str">
        <f aca="false">IF(B114="","",IF(H114="Y",$B$8,$B$7))</f>
        <v/>
      </c>
      <c r="M114" s="8" t="str">
        <f aca="false">IF(K114="","",IF(K114&lt;=L114,"Yes","No"))</f>
        <v/>
      </c>
      <c r="N114" s="13"/>
      <c r="O114" s="13"/>
      <c r="P114" s="13"/>
      <c r="Q114" s="13"/>
      <c r="R114" s="14"/>
      <c r="S114" s="14"/>
      <c r="T114" s="8" t="str">
        <f aca="false">IF(AND(ISNUMBER(R114),ISNUMBER(S114)),NETWORKDAYS(R114,S114,$Y$6:$Y$40)-1,"")</f>
        <v/>
      </c>
      <c r="U114" s="8" t="str">
        <f aca="false">IF(T114="","",IF(T114&lt;=$B$10,"Yes","No"))</f>
        <v/>
      </c>
      <c r="V114" s="13"/>
    </row>
    <row r="115" customFormat="false" ht="15" hidden="false" customHeight="false" outlineLevel="0" collapsed="false">
      <c r="A115" s="13"/>
      <c r="B115" s="14"/>
      <c r="C115" s="13"/>
      <c r="D115" s="13"/>
      <c r="E115" s="13"/>
      <c r="F115" s="13"/>
      <c r="G115" s="13"/>
      <c r="H115" s="13"/>
      <c r="I115" s="14"/>
      <c r="J115" s="14"/>
      <c r="K115" s="8" t="str">
        <f aca="false">IF(AND(ISNUMBER(B115),ISNUMBER(J115)),NETWORKDAYS(B115,J115,$Y$6:$Y$40)-1,"")</f>
        <v/>
      </c>
      <c r="L115" s="8" t="str">
        <f aca="false">IF(B115="","",IF(H115="Y",$B$8,$B$7))</f>
        <v/>
      </c>
      <c r="M115" s="8" t="str">
        <f aca="false">IF(K115="","",IF(K115&lt;=L115,"Yes","No"))</f>
        <v/>
      </c>
      <c r="N115" s="13"/>
      <c r="O115" s="13"/>
      <c r="P115" s="13"/>
      <c r="Q115" s="13"/>
      <c r="R115" s="14"/>
      <c r="S115" s="14"/>
      <c r="T115" s="8" t="str">
        <f aca="false">IF(AND(ISNUMBER(R115),ISNUMBER(S115)),NETWORKDAYS(R115,S115,$Y$6:$Y$40)-1,"")</f>
        <v/>
      </c>
      <c r="U115" s="8" t="str">
        <f aca="false">IF(T115="","",IF(T115&lt;=$B$10,"Yes","No"))</f>
        <v/>
      </c>
      <c r="V115" s="13"/>
    </row>
    <row r="116" customFormat="false" ht="15" hidden="false" customHeight="false" outlineLevel="0" collapsed="false">
      <c r="A116" s="13"/>
      <c r="B116" s="14"/>
      <c r="C116" s="13"/>
      <c r="D116" s="13"/>
      <c r="E116" s="13"/>
      <c r="F116" s="13"/>
      <c r="G116" s="13"/>
      <c r="H116" s="13"/>
      <c r="I116" s="14"/>
      <c r="J116" s="14"/>
      <c r="K116" s="8" t="str">
        <f aca="false">IF(AND(ISNUMBER(B116),ISNUMBER(J116)),NETWORKDAYS(B116,J116,$Y$6:$Y$40)-1,"")</f>
        <v/>
      </c>
      <c r="L116" s="8" t="str">
        <f aca="false">IF(B116="","",IF(H116="Y",$B$8,$B$7))</f>
        <v/>
      </c>
      <c r="M116" s="8" t="str">
        <f aca="false">IF(K116="","",IF(K116&lt;=L116,"Yes","No"))</f>
        <v/>
      </c>
      <c r="N116" s="13"/>
      <c r="O116" s="13"/>
      <c r="P116" s="13"/>
      <c r="Q116" s="13"/>
      <c r="R116" s="14"/>
      <c r="S116" s="14"/>
      <c r="T116" s="8" t="str">
        <f aca="false">IF(AND(ISNUMBER(R116),ISNUMBER(S116)),NETWORKDAYS(R116,S116,$Y$6:$Y$40)-1,"")</f>
        <v/>
      </c>
      <c r="U116" s="8" t="str">
        <f aca="false">IF(T116="","",IF(T116&lt;=$B$10,"Yes","No"))</f>
        <v/>
      </c>
      <c r="V116" s="13"/>
    </row>
    <row r="117" customFormat="false" ht="15" hidden="false" customHeight="false" outlineLevel="0" collapsed="false">
      <c r="A117" s="13"/>
      <c r="B117" s="14"/>
      <c r="C117" s="13"/>
      <c r="D117" s="13"/>
      <c r="E117" s="13"/>
      <c r="F117" s="13"/>
      <c r="G117" s="13"/>
      <c r="H117" s="13"/>
      <c r="I117" s="14"/>
      <c r="J117" s="14"/>
      <c r="K117" s="8" t="str">
        <f aca="false">IF(AND(ISNUMBER(B117),ISNUMBER(J117)),NETWORKDAYS(B117,J117,$Y$6:$Y$40)-1,"")</f>
        <v/>
      </c>
      <c r="L117" s="8" t="str">
        <f aca="false">IF(B117="","",IF(H117="Y",$B$8,$B$7))</f>
        <v/>
      </c>
      <c r="M117" s="8" t="str">
        <f aca="false">IF(K117="","",IF(K117&lt;=L117,"Yes","No"))</f>
        <v/>
      </c>
      <c r="N117" s="13"/>
      <c r="O117" s="13"/>
      <c r="P117" s="13"/>
      <c r="Q117" s="13"/>
      <c r="R117" s="14"/>
      <c r="S117" s="14"/>
      <c r="T117" s="8" t="str">
        <f aca="false">IF(AND(ISNUMBER(R117),ISNUMBER(S117)),NETWORKDAYS(R117,S117,$Y$6:$Y$40)-1,"")</f>
        <v/>
      </c>
      <c r="U117" s="8" t="str">
        <f aca="false">IF(T117="","",IF(T117&lt;=$B$10,"Yes","No"))</f>
        <v/>
      </c>
      <c r="V117" s="13"/>
    </row>
    <row r="118" customFormat="false" ht="15" hidden="false" customHeight="false" outlineLevel="0" collapsed="false">
      <c r="A118" s="13"/>
      <c r="B118" s="14"/>
      <c r="C118" s="13"/>
      <c r="D118" s="13"/>
      <c r="E118" s="13"/>
      <c r="F118" s="13"/>
      <c r="G118" s="13"/>
      <c r="H118" s="13"/>
      <c r="I118" s="14"/>
      <c r="J118" s="14"/>
      <c r="K118" s="8" t="str">
        <f aca="false">IF(AND(ISNUMBER(B118),ISNUMBER(J118)),NETWORKDAYS(B118,J118,$Y$6:$Y$40)-1,"")</f>
        <v/>
      </c>
      <c r="L118" s="8" t="str">
        <f aca="false">IF(B118="","",IF(H118="Y",$B$8,$B$7))</f>
        <v/>
      </c>
      <c r="M118" s="8" t="str">
        <f aca="false">IF(K118="","",IF(K118&lt;=L118,"Yes","No"))</f>
        <v/>
      </c>
      <c r="N118" s="13"/>
      <c r="O118" s="13"/>
      <c r="P118" s="13"/>
      <c r="Q118" s="13"/>
      <c r="R118" s="14"/>
      <c r="S118" s="14"/>
      <c r="T118" s="8" t="str">
        <f aca="false">IF(AND(ISNUMBER(R118),ISNUMBER(S118)),NETWORKDAYS(R118,S118,$Y$6:$Y$40)-1,"")</f>
        <v/>
      </c>
      <c r="U118" s="8" t="str">
        <f aca="false">IF(T118="","",IF(T118&lt;=$B$10,"Yes","No"))</f>
        <v/>
      </c>
      <c r="V118" s="13"/>
    </row>
    <row r="119" customFormat="false" ht="15" hidden="false" customHeight="false" outlineLevel="0" collapsed="false">
      <c r="A119" s="13"/>
      <c r="B119" s="14"/>
      <c r="C119" s="13"/>
      <c r="D119" s="13"/>
      <c r="E119" s="13"/>
      <c r="F119" s="13"/>
      <c r="G119" s="13"/>
      <c r="H119" s="13"/>
      <c r="I119" s="14"/>
      <c r="J119" s="14"/>
      <c r="K119" s="8" t="str">
        <f aca="false">IF(AND(ISNUMBER(B119),ISNUMBER(J119)),NETWORKDAYS(B119,J119,$Y$6:$Y$40)-1,"")</f>
        <v/>
      </c>
      <c r="L119" s="8" t="str">
        <f aca="false">IF(B119="","",IF(H119="Y",$B$8,$B$7))</f>
        <v/>
      </c>
      <c r="M119" s="8" t="str">
        <f aca="false">IF(K119="","",IF(K119&lt;=L119,"Yes","No"))</f>
        <v/>
      </c>
      <c r="N119" s="13"/>
      <c r="O119" s="13"/>
      <c r="P119" s="13"/>
      <c r="Q119" s="13"/>
      <c r="R119" s="14"/>
      <c r="S119" s="14"/>
      <c r="T119" s="8" t="str">
        <f aca="false">IF(AND(ISNUMBER(R119),ISNUMBER(S119)),NETWORKDAYS(R119,S119,$Y$6:$Y$40)-1,"")</f>
        <v/>
      </c>
      <c r="U119" s="8" t="str">
        <f aca="false">IF(T119="","",IF(T119&lt;=$B$10,"Yes","No"))</f>
        <v/>
      </c>
      <c r="V119" s="13"/>
    </row>
    <row r="120" customFormat="false" ht="15" hidden="false" customHeight="false" outlineLevel="0" collapsed="false">
      <c r="A120" s="13"/>
      <c r="B120" s="14"/>
      <c r="C120" s="13"/>
      <c r="D120" s="13"/>
      <c r="E120" s="13"/>
      <c r="F120" s="13"/>
      <c r="G120" s="13"/>
      <c r="H120" s="13"/>
      <c r="I120" s="14"/>
      <c r="J120" s="14"/>
      <c r="K120" s="8" t="str">
        <f aca="false">IF(AND(ISNUMBER(B120),ISNUMBER(J120)),NETWORKDAYS(B120,J120,$Y$6:$Y$40)-1,"")</f>
        <v/>
      </c>
      <c r="L120" s="8" t="str">
        <f aca="false">IF(B120="","",IF(H120="Y",$B$8,$B$7))</f>
        <v/>
      </c>
      <c r="M120" s="8" t="str">
        <f aca="false">IF(K120="","",IF(K120&lt;=L120,"Yes","No"))</f>
        <v/>
      </c>
      <c r="N120" s="13"/>
      <c r="O120" s="13"/>
      <c r="P120" s="13"/>
      <c r="Q120" s="13"/>
      <c r="R120" s="14"/>
      <c r="S120" s="14"/>
      <c r="T120" s="8" t="str">
        <f aca="false">IF(AND(ISNUMBER(R120),ISNUMBER(S120)),NETWORKDAYS(R120,S120,$Y$6:$Y$40)-1,"")</f>
        <v/>
      </c>
      <c r="U120" s="8" t="str">
        <f aca="false">IF(T120="","",IF(T120&lt;=$B$10,"Yes","No"))</f>
        <v/>
      </c>
      <c r="V120" s="13"/>
    </row>
    <row r="121" customFormat="false" ht="15" hidden="false" customHeight="false" outlineLevel="0" collapsed="false">
      <c r="A121" s="13"/>
      <c r="B121" s="14"/>
      <c r="C121" s="13"/>
      <c r="D121" s="13"/>
      <c r="E121" s="13"/>
      <c r="F121" s="13"/>
      <c r="G121" s="13"/>
      <c r="H121" s="13"/>
      <c r="I121" s="14"/>
      <c r="J121" s="14"/>
      <c r="K121" s="8" t="str">
        <f aca="false">IF(AND(ISNUMBER(B121),ISNUMBER(J121)),NETWORKDAYS(B121,J121,$Y$6:$Y$40)-1,"")</f>
        <v/>
      </c>
      <c r="L121" s="8" t="str">
        <f aca="false">IF(B121="","",IF(H121="Y",$B$8,$B$7))</f>
        <v/>
      </c>
      <c r="M121" s="8" t="str">
        <f aca="false">IF(K121="","",IF(K121&lt;=L121,"Yes","No"))</f>
        <v/>
      </c>
      <c r="N121" s="13"/>
      <c r="O121" s="13"/>
      <c r="P121" s="13"/>
      <c r="Q121" s="13"/>
      <c r="R121" s="14"/>
      <c r="S121" s="14"/>
      <c r="T121" s="8" t="str">
        <f aca="false">IF(AND(ISNUMBER(R121),ISNUMBER(S121)),NETWORKDAYS(R121,S121,$Y$6:$Y$40)-1,"")</f>
        <v/>
      </c>
      <c r="U121" s="8" t="str">
        <f aca="false">IF(T121="","",IF(T121&lt;=$B$10,"Yes","No"))</f>
        <v/>
      </c>
      <c r="V121" s="13"/>
    </row>
    <row r="122" customFormat="false" ht="15" hidden="false" customHeight="false" outlineLevel="0" collapsed="false">
      <c r="A122" s="13"/>
      <c r="B122" s="14"/>
      <c r="C122" s="13"/>
      <c r="D122" s="13"/>
      <c r="E122" s="13"/>
      <c r="F122" s="13"/>
      <c r="G122" s="13"/>
      <c r="H122" s="13"/>
      <c r="I122" s="14"/>
      <c r="J122" s="14"/>
      <c r="K122" s="8" t="str">
        <f aca="false">IF(AND(ISNUMBER(B122),ISNUMBER(J122)),NETWORKDAYS(B122,J122,$Y$6:$Y$40)-1,"")</f>
        <v/>
      </c>
      <c r="L122" s="8" t="str">
        <f aca="false">IF(B122="","",IF(H122="Y",$B$8,$B$7))</f>
        <v/>
      </c>
      <c r="M122" s="8" t="str">
        <f aca="false">IF(K122="","",IF(K122&lt;=L122,"Yes","No"))</f>
        <v/>
      </c>
      <c r="N122" s="13"/>
      <c r="O122" s="13"/>
      <c r="P122" s="13"/>
      <c r="Q122" s="13"/>
      <c r="R122" s="14"/>
      <c r="S122" s="14"/>
      <c r="T122" s="8" t="str">
        <f aca="false">IF(AND(ISNUMBER(R122),ISNUMBER(S122)),NETWORKDAYS(R122,S122,$Y$6:$Y$40)-1,"")</f>
        <v/>
      </c>
      <c r="U122" s="8" t="str">
        <f aca="false">IF(T122="","",IF(T122&lt;=$B$10,"Yes","No"))</f>
        <v/>
      </c>
      <c r="V122" s="13"/>
    </row>
    <row r="123" customFormat="false" ht="15" hidden="false" customHeight="false" outlineLevel="0" collapsed="false">
      <c r="A123" s="13"/>
      <c r="B123" s="14"/>
      <c r="C123" s="13"/>
      <c r="D123" s="13"/>
      <c r="E123" s="13"/>
      <c r="F123" s="13"/>
      <c r="G123" s="13"/>
      <c r="H123" s="13"/>
      <c r="I123" s="14"/>
      <c r="J123" s="14"/>
      <c r="K123" s="8" t="str">
        <f aca="false">IF(AND(ISNUMBER(B123),ISNUMBER(J123)),NETWORKDAYS(B123,J123,$Y$6:$Y$40)-1,"")</f>
        <v/>
      </c>
      <c r="L123" s="8" t="str">
        <f aca="false">IF(B123="","",IF(H123="Y",$B$8,$B$7))</f>
        <v/>
      </c>
      <c r="M123" s="8" t="str">
        <f aca="false">IF(K123="","",IF(K123&lt;=L123,"Yes","No"))</f>
        <v/>
      </c>
      <c r="N123" s="13"/>
      <c r="O123" s="13"/>
      <c r="P123" s="13"/>
      <c r="Q123" s="13"/>
      <c r="R123" s="14"/>
      <c r="S123" s="14"/>
      <c r="T123" s="8" t="str">
        <f aca="false">IF(AND(ISNUMBER(R123),ISNUMBER(S123)),NETWORKDAYS(R123,S123,$Y$6:$Y$40)-1,"")</f>
        <v/>
      </c>
      <c r="U123" s="8" t="str">
        <f aca="false">IF(T123="","",IF(T123&lt;=$B$10,"Yes","No"))</f>
        <v/>
      </c>
      <c r="V123" s="13"/>
    </row>
    <row r="124" customFormat="false" ht="15" hidden="false" customHeight="false" outlineLevel="0" collapsed="false">
      <c r="A124" s="13"/>
      <c r="B124" s="14"/>
      <c r="C124" s="13"/>
      <c r="D124" s="13"/>
      <c r="E124" s="13"/>
      <c r="F124" s="13"/>
      <c r="G124" s="13"/>
      <c r="H124" s="13"/>
      <c r="I124" s="14"/>
      <c r="J124" s="14"/>
      <c r="K124" s="8" t="str">
        <f aca="false">IF(AND(ISNUMBER(B124),ISNUMBER(J124)),NETWORKDAYS(B124,J124,$Y$6:$Y$40)-1,"")</f>
        <v/>
      </c>
      <c r="L124" s="8" t="str">
        <f aca="false">IF(B124="","",IF(H124="Y",$B$8,$B$7))</f>
        <v/>
      </c>
      <c r="M124" s="8" t="str">
        <f aca="false">IF(K124="","",IF(K124&lt;=L124,"Yes","No"))</f>
        <v/>
      </c>
      <c r="N124" s="13"/>
      <c r="O124" s="13"/>
      <c r="P124" s="13"/>
      <c r="Q124" s="13"/>
      <c r="R124" s="14"/>
      <c r="S124" s="14"/>
      <c r="T124" s="8" t="str">
        <f aca="false">IF(AND(ISNUMBER(R124),ISNUMBER(S124)),NETWORKDAYS(R124,S124,$Y$6:$Y$40)-1,"")</f>
        <v/>
      </c>
      <c r="U124" s="8" t="str">
        <f aca="false">IF(T124="","",IF(T124&lt;=$B$10,"Yes","No"))</f>
        <v/>
      </c>
      <c r="V124" s="13"/>
    </row>
    <row r="125" customFormat="false" ht="15" hidden="false" customHeight="false" outlineLevel="0" collapsed="false">
      <c r="A125" s="13"/>
      <c r="B125" s="14"/>
      <c r="C125" s="13"/>
      <c r="D125" s="13"/>
      <c r="E125" s="13"/>
      <c r="F125" s="13"/>
      <c r="G125" s="13"/>
      <c r="H125" s="13"/>
      <c r="I125" s="14"/>
      <c r="J125" s="14"/>
      <c r="K125" s="8" t="str">
        <f aca="false">IF(AND(ISNUMBER(B125),ISNUMBER(J125)),NETWORKDAYS(B125,J125,$Y$6:$Y$40)-1,"")</f>
        <v/>
      </c>
      <c r="L125" s="8" t="str">
        <f aca="false">IF(B125="","",IF(H125="Y",$B$8,$B$7))</f>
        <v/>
      </c>
      <c r="M125" s="8" t="str">
        <f aca="false">IF(K125="","",IF(K125&lt;=L125,"Yes","No"))</f>
        <v/>
      </c>
      <c r="N125" s="13"/>
      <c r="O125" s="13"/>
      <c r="P125" s="13"/>
      <c r="Q125" s="13"/>
      <c r="R125" s="14"/>
      <c r="S125" s="14"/>
      <c r="T125" s="8" t="str">
        <f aca="false">IF(AND(ISNUMBER(R125),ISNUMBER(S125)),NETWORKDAYS(R125,S125,$Y$6:$Y$40)-1,"")</f>
        <v/>
      </c>
      <c r="U125" s="8" t="str">
        <f aca="false">IF(T125="","",IF(T125&lt;=$B$10,"Yes","No"))</f>
        <v/>
      </c>
      <c r="V125" s="13"/>
    </row>
    <row r="126" customFormat="false" ht="15" hidden="false" customHeight="false" outlineLevel="0" collapsed="false">
      <c r="A126" s="13"/>
      <c r="B126" s="14"/>
      <c r="C126" s="13"/>
      <c r="D126" s="13"/>
      <c r="E126" s="13"/>
      <c r="F126" s="13"/>
      <c r="G126" s="13"/>
      <c r="H126" s="13"/>
      <c r="I126" s="14"/>
      <c r="J126" s="14"/>
      <c r="K126" s="8" t="str">
        <f aca="false">IF(AND(ISNUMBER(B126),ISNUMBER(J126)),NETWORKDAYS(B126,J126,$Y$6:$Y$40)-1,"")</f>
        <v/>
      </c>
      <c r="L126" s="8" t="str">
        <f aca="false">IF(B126="","",IF(H126="Y",$B$8,$B$7))</f>
        <v/>
      </c>
      <c r="M126" s="8" t="str">
        <f aca="false">IF(K126="","",IF(K126&lt;=L126,"Yes","No"))</f>
        <v/>
      </c>
      <c r="N126" s="13"/>
      <c r="O126" s="13"/>
      <c r="P126" s="13"/>
      <c r="Q126" s="13"/>
      <c r="R126" s="14"/>
      <c r="S126" s="14"/>
      <c r="T126" s="8" t="str">
        <f aca="false">IF(AND(ISNUMBER(R126),ISNUMBER(S126)),NETWORKDAYS(R126,S126,$Y$6:$Y$40)-1,"")</f>
        <v/>
      </c>
      <c r="U126" s="8" t="str">
        <f aca="false">IF(T126="","",IF(T126&lt;=$B$10,"Yes","No"))</f>
        <v/>
      </c>
      <c r="V126" s="13"/>
    </row>
    <row r="127" customFormat="false" ht="15" hidden="false" customHeight="false" outlineLevel="0" collapsed="false">
      <c r="A127" s="13"/>
      <c r="B127" s="14"/>
      <c r="C127" s="13"/>
      <c r="D127" s="13"/>
      <c r="E127" s="13"/>
      <c r="F127" s="13"/>
      <c r="G127" s="13"/>
      <c r="H127" s="13"/>
      <c r="I127" s="14"/>
      <c r="J127" s="14"/>
      <c r="K127" s="8" t="str">
        <f aca="false">IF(AND(ISNUMBER(B127),ISNUMBER(J127)),NETWORKDAYS(B127,J127,$Y$6:$Y$40)-1,"")</f>
        <v/>
      </c>
      <c r="L127" s="8" t="str">
        <f aca="false">IF(B127="","",IF(H127="Y",$B$8,$B$7))</f>
        <v/>
      </c>
      <c r="M127" s="8" t="str">
        <f aca="false">IF(K127="","",IF(K127&lt;=L127,"Yes","No"))</f>
        <v/>
      </c>
      <c r="N127" s="13"/>
      <c r="O127" s="13"/>
      <c r="P127" s="13"/>
      <c r="Q127" s="13"/>
      <c r="R127" s="14"/>
      <c r="S127" s="14"/>
      <c r="T127" s="8" t="str">
        <f aca="false">IF(AND(ISNUMBER(R127),ISNUMBER(S127)),NETWORKDAYS(R127,S127,$Y$6:$Y$40)-1,"")</f>
        <v/>
      </c>
      <c r="U127" s="8" t="str">
        <f aca="false">IF(T127="","",IF(T127&lt;=$B$10,"Yes","No"))</f>
        <v/>
      </c>
      <c r="V127" s="13"/>
    </row>
    <row r="128" customFormat="false" ht="15" hidden="false" customHeight="false" outlineLevel="0" collapsed="false">
      <c r="A128" s="13"/>
      <c r="B128" s="14"/>
      <c r="C128" s="13"/>
      <c r="D128" s="13"/>
      <c r="E128" s="13"/>
      <c r="F128" s="13"/>
      <c r="G128" s="13"/>
      <c r="H128" s="13"/>
      <c r="I128" s="14"/>
      <c r="J128" s="14"/>
      <c r="K128" s="8" t="str">
        <f aca="false">IF(AND(ISNUMBER(B128),ISNUMBER(J128)),NETWORKDAYS(B128,J128,$Y$6:$Y$40)-1,"")</f>
        <v/>
      </c>
      <c r="L128" s="8" t="str">
        <f aca="false">IF(B128="","",IF(H128="Y",$B$8,$B$7))</f>
        <v/>
      </c>
      <c r="M128" s="8" t="str">
        <f aca="false">IF(K128="","",IF(K128&lt;=L128,"Yes","No"))</f>
        <v/>
      </c>
      <c r="N128" s="13"/>
      <c r="O128" s="13"/>
      <c r="P128" s="13"/>
      <c r="Q128" s="13"/>
      <c r="R128" s="14"/>
      <c r="S128" s="14"/>
      <c r="T128" s="8" t="str">
        <f aca="false">IF(AND(ISNUMBER(R128),ISNUMBER(S128)),NETWORKDAYS(R128,S128,$Y$6:$Y$40)-1,"")</f>
        <v/>
      </c>
      <c r="U128" s="8" t="str">
        <f aca="false">IF(T128="","",IF(T128&lt;=$B$10,"Yes","No"))</f>
        <v/>
      </c>
      <c r="V128" s="13"/>
    </row>
    <row r="129" customFormat="false" ht="15" hidden="false" customHeight="false" outlineLevel="0" collapsed="false">
      <c r="A129" s="13"/>
      <c r="B129" s="14"/>
      <c r="C129" s="13"/>
      <c r="D129" s="13"/>
      <c r="E129" s="13"/>
      <c r="F129" s="13"/>
      <c r="G129" s="13"/>
      <c r="H129" s="13"/>
      <c r="I129" s="14"/>
      <c r="J129" s="14"/>
      <c r="K129" s="8" t="str">
        <f aca="false">IF(AND(ISNUMBER(B129),ISNUMBER(J129)),NETWORKDAYS(B129,J129,$Y$6:$Y$40)-1,"")</f>
        <v/>
      </c>
      <c r="L129" s="8" t="str">
        <f aca="false">IF(B129="","",IF(H129="Y",$B$8,$B$7))</f>
        <v/>
      </c>
      <c r="M129" s="8" t="str">
        <f aca="false">IF(K129="","",IF(K129&lt;=L129,"Yes","No"))</f>
        <v/>
      </c>
      <c r="N129" s="13"/>
      <c r="O129" s="13"/>
      <c r="P129" s="13"/>
      <c r="Q129" s="13"/>
      <c r="R129" s="14"/>
      <c r="S129" s="14"/>
      <c r="T129" s="8" t="str">
        <f aca="false">IF(AND(ISNUMBER(R129),ISNUMBER(S129)),NETWORKDAYS(R129,S129,$Y$6:$Y$40)-1,"")</f>
        <v/>
      </c>
      <c r="U129" s="8" t="str">
        <f aca="false">IF(T129="","",IF(T129&lt;=$B$10,"Yes","No"))</f>
        <v/>
      </c>
      <c r="V129" s="13"/>
    </row>
    <row r="130" customFormat="false" ht="15" hidden="false" customHeight="false" outlineLevel="0" collapsed="false">
      <c r="A130" s="13"/>
      <c r="B130" s="14"/>
      <c r="C130" s="13"/>
      <c r="D130" s="13"/>
      <c r="E130" s="13"/>
      <c r="F130" s="13"/>
      <c r="G130" s="13"/>
      <c r="H130" s="13"/>
      <c r="I130" s="14"/>
      <c r="J130" s="14"/>
      <c r="K130" s="8" t="str">
        <f aca="false">IF(AND(ISNUMBER(B130),ISNUMBER(J130)),NETWORKDAYS(B130,J130,$Y$6:$Y$40)-1,"")</f>
        <v/>
      </c>
      <c r="L130" s="8" t="str">
        <f aca="false">IF(B130="","",IF(H130="Y",$B$8,$B$7))</f>
        <v/>
      </c>
      <c r="M130" s="8" t="str">
        <f aca="false">IF(K130="","",IF(K130&lt;=L130,"Yes","No"))</f>
        <v/>
      </c>
      <c r="N130" s="13"/>
      <c r="O130" s="13"/>
      <c r="P130" s="13"/>
      <c r="Q130" s="13"/>
      <c r="R130" s="14"/>
      <c r="S130" s="14"/>
      <c r="T130" s="8" t="str">
        <f aca="false">IF(AND(ISNUMBER(R130),ISNUMBER(S130)),NETWORKDAYS(R130,S130,$Y$6:$Y$40)-1,"")</f>
        <v/>
      </c>
      <c r="U130" s="8" t="str">
        <f aca="false">IF(T130="","",IF(T130&lt;=$B$10,"Yes","No"))</f>
        <v/>
      </c>
      <c r="V130" s="13"/>
    </row>
    <row r="131" customFormat="false" ht="15" hidden="false" customHeight="false" outlineLevel="0" collapsed="false">
      <c r="A131" s="13"/>
      <c r="B131" s="14"/>
      <c r="C131" s="13"/>
      <c r="D131" s="13"/>
      <c r="E131" s="13"/>
      <c r="F131" s="13"/>
      <c r="G131" s="13"/>
      <c r="H131" s="13"/>
      <c r="I131" s="14"/>
      <c r="J131" s="14"/>
      <c r="K131" s="8" t="str">
        <f aca="false">IF(AND(ISNUMBER(B131),ISNUMBER(J131)),NETWORKDAYS(B131,J131,$Y$6:$Y$40)-1,"")</f>
        <v/>
      </c>
      <c r="L131" s="8" t="str">
        <f aca="false">IF(B131="","",IF(H131="Y",$B$8,$B$7))</f>
        <v/>
      </c>
      <c r="M131" s="8" t="str">
        <f aca="false">IF(K131="","",IF(K131&lt;=L131,"Yes","No"))</f>
        <v/>
      </c>
      <c r="N131" s="13"/>
      <c r="O131" s="13"/>
      <c r="P131" s="13"/>
      <c r="Q131" s="13"/>
      <c r="R131" s="14"/>
      <c r="S131" s="14"/>
      <c r="T131" s="8" t="str">
        <f aca="false">IF(AND(ISNUMBER(R131),ISNUMBER(S131)),NETWORKDAYS(R131,S131,$Y$6:$Y$40)-1,"")</f>
        <v/>
      </c>
      <c r="U131" s="8" t="str">
        <f aca="false">IF(T131="","",IF(T131&lt;=$B$10,"Yes","No"))</f>
        <v/>
      </c>
      <c r="V131" s="13"/>
    </row>
    <row r="132" customFormat="false" ht="15" hidden="false" customHeight="false" outlineLevel="0" collapsed="false">
      <c r="A132" s="13"/>
      <c r="B132" s="14"/>
      <c r="C132" s="13"/>
      <c r="D132" s="13"/>
      <c r="E132" s="13"/>
      <c r="F132" s="13"/>
      <c r="G132" s="13"/>
      <c r="H132" s="13"/>
      <c r="I132" s="14"/>
      <c r="J132" s="14"/>
      <c r="K132" s="8" t="str">
        <f aca="false">IF(AND(ISNUMBER(B132),ISNUMBER(J132)),NETWORKDAYS(B132,J132,$Y$6:$Y$40)-1,"")</f>
        <v/>
      </c>
      <c r="L132" s="8" t="str">
        <f aca="false">IF(B132="","",IF(H132="Y",$B$8,$B$7))</f>
        <v/>
      </c>
      <c r="M132" s="8" t="str">
        <f aca="false">IF(K132="","",IF(K132&lt;=L132,"Yes","No"))</f>
        <v/>
      </c>
      <c r="N132" s="13"/>
      <c r="O132" s="13"/>
      <c r="P132" s="13"/>
      <c r="Q132" s="13"/>
      <c r="R132" s="14"/>
      <c r="S132" s="14"/>
      <c r="T132" s="8" t="str">
        <f aca="false">IF(AND(ISNUMBER(R132),ISNUMBER(S132)),NETWORKDAYS(R132,S132,$Y$6:$Y$40)-1,"")</f>
        <v/>
      </c>
      <c r="U132" s="8" t="str">
        <f aca="false">IF(T132="","",IF(T132&lt;=$B$10,"Yes","No"))</f>
        <v/>
      </c>
      <c r="V132" s="13"/>
    </row>
    <row r="133" customFormat="false" ht="15" hidden="false" customHeight="false" outlineLevel="0" collapsed="false">
      <c r="A133" s="13"/>
      <c r="B133" s="14"/>
      <c r="C133" s="13"/>
      <c r="D133" s="13"/>
      <c r="E133" s="13"/>
      <c r="F133" s="13"/>
      <c r="G133" s="13"/>
      <c r="H133" s="13"/>
      <c r="I133" s="14"/>
      <c r="J133" s="14"/>
      <c r="K133" s="8" t="str">
        <f aca="false">IF(AND(ISNUMBER(B133),ISNUMBER(J133)),NETWORKDAYS(B133,J133,$Y$6:$Y$40)-1,"")</f>
        <v/>
      </c>
      <c r="L133" s="8" t="str">
        <f aca="false">IF(B133="","",IF(H133="Y",$B$8,$B$7))</f>
        <v/>
      </c>
      <c r="M133" s="8" t="str">
        <f aca="false">IF(K133="","",IF(K133&lt;=L133,"Yes","No"))</f>
        <v/>
      </c>
      <c r="N133" s="13"/>
      <c r="O133" s="13"/>
      <c r="P133" s="13"/>
      <c r="Q133" s="13"/>
      <c r="R133" s="14"/>
      <c r="S133" s="14"/>
      <c r="T133" s="8" t="str">
        <f aca="false">IF(AND(ISNUMBER(R133),ISNUMBER(S133)),NETWORKDAYS(R133,S133,$Y$6:$Y$40)-1,"")</f>
        <v/>
      </c>
      <c r="U133" s="8" t="str">
        <f aca="false">IF(T133="","",IF(T133&lt;=$B$10,"Yes","No"))</f>
        <v/>
      </c>
      <c r="V133" s="13"/>
    </row>
    <row r="134" customFormat="false" ht="15" hidden="false" customHeight="false" outlineLevel="0" collapsed="false">
      <c r="A134" s="13"/>
      <c r="B134" s="14"/>
      <c r="C134" s="13"/>
      <c r="D134" s="13"/>
      <c r="E134" s="13"/>
      <c r="F134" s="13"/>
      <c r="G134" s="13"/>
      <c r="H134" s="13"/>
      <c r="I134" s="14"/>
      <c r="J134" s="14"/>
      <c r="K134" s="8" t="str">
        <f aca="false">IF(AND(ISNUMBER(B134),ISNUMBER(J134)),NETWORKDAYS(B134,J134,$Y$6:$Y$40)-1,"")</f>
        <v/>
      </c>
      <c r="L134" s="8" t="str">
        <f aca="false">IF(B134="","",IF(H134="Y",$B$8,$B$7))</f>
        <v/>
      </c>
      <c r="M134" s="8" t="str">
        <f aca="false">IF(K134="","",IF(K134&lt;=L134,"Yes","No"))</f>
        <v/>
      </c>
      <c r="N134" s="13"/>
      <c r="O134" s="13"/>
      <c r="P134" s="13"/>
      <c r="Q134" s="13"/>
      <c r="R134" s="14"/>
      <c r="S134" s="14"/>
      <c r="T134" s="8" t="str">
        <f aca="false">IF(AND(ISNUMBER(R134),ISNUMBER(S134)),NETWORKDAYS(R134,S134,$Y$6:$Y$40)-1,"")</f>
        <v/>
      </c>
      <c r="U134" s="8" t="str">
        <f aca="false">IF(T134="","",IF(T134&lt;=$B$10,"Yes","No"))</f>
        <v/>
      </c>
      <c r="V134" s="13"/>
    </row>
    <row r="135" customFormat="false" ht="15" hidden="false" customHeight="false" outlineLevel="0" collapsed="false">
      <c r="A135" s="13"/>
      <c r="B135" s="14"/>
      <c r="C135" s="13"/>
      <c r="D135" s="13"/>
      <c r="E135" s="13"/>
      <c r="F135" s="13"/>
      <c r="G135" s="13"/>
      <c r="H135" s="13"/>
      <c r="I135" s="14"/>
      <c r="J135" s="14"/>
      <c r="K135" s="8" t="str">
        <f aca="false">IF(AND(ISNUMBER(B135),ISNUMBER(J135)),NETWORKDAYS(B135,J135,$Y$6:$Y$40)-1,"")</f>
        <v/>
      </c>
      <c r="L135" s="8" t="str">
        <f aca="false">IF(B135="","",IF(H135="Y",$B$8,$B$7))</f>
        <v/>
      </c>
      <c r="M135" s="8" t="str">
        <f aca="false">IF(K135="","",IF(K135&lt;=L135,"Yes","No"))</f>
        <v/>
      </c>
      <c r="N135" s="13"/>
      <c r="O135" s="13"/>
      <c r="P135" s="13"/>
      <c r="Q135" s="13"/>
      <c r="R135" s="14"/>
      <c r="S135" s="14"/>
      <c r="T135" s="8" t="str">
        <f aca="false">IF(AND(ISNUMBER(R135),ISNUMBER(S135)),NETWORKDAYS(R135,S135,$Y$6:$Y$40)-1,"")</f>
        <v/>
      </c>
      <c r="U135" s="8" t="str">
        <f aca="false">IF(T135="","",IF(T135&lt;=$B$10,"Yes","No"))</f>
        <v/>
      </c>
      <c r="V135" s="13"/>
    </row>
    <row r="136" customFormat="false" ht="15" hidden="false" customHeight="false" outlineLevel="0" collapsed="false">
      <c r="A136" s="13"/>
      <c r="B136" s="14"/>
      <c r="C136" s="13"/>
      <c r="D136" s="13"/>
      <c r="E136" s="13"/>
      <c r="F136" s="13"/>
      <c r="G136" s="13"/>
      <c r="H136" s="13"/>
      <c r="I136" s="14"/>
      <c r="J136" s="14"/>
      <c r="K136" s="8" t="str">
        <f aca="false">IF(AND(ISNUMBER(B136),ISNUMBER(J136)),NETWORKDAYS(B136,J136,$Y$6:$Y$40)-1,"")</f>
        <v/>
      </c>
      <c r="L136" s="8" t="str">
        <f aca="false">IF(B136="","",IF(H136="Y",$B$8,$B$7))</f>
        <v/>
      </c>
      <c r="M136" s="8" t="str">
        <f aca="false">IF(K136="","",IF(K136&lt;=L136,"Yes","No"))</f>
        <v/>
      </c>
      <c r="N136" s="13"/>
      <c r="O136" s="13"/>
      <c r="P136" s="13"/>
      <c r="Q136" s="13"/>
      <c r="R136" s="14"/>
      <c r="S136" s="14"/>
      <c r="T136" s="8" t="str">
        <f aca="false">IF(AND(ISNUMBER(R136),ISNUMBER(S136)),NETWORKDAYS(R136,S136,$Y$6:$Y$40)-1,"")</f>
        <v/>
      </c>
      <c r="U136" s="8" t="str">
        <f aca="false">IF(T136="","",IF(T136&lt;=$B$10,"Yes","No"))</f>
        <v/>
      </c>
      <c r="V136" s="13"/>
    </row>
    <row r="137" customFormat="false" ht="15" hidden="false" customHeight="false" outlineLevel="0" collapsed="false">
      <c r="A137" s="13"/>
      <c r="B137" s="14"/>
      <c r="C137" s="13"/>
      <c r="D137" s="13"/>
      <c r="E137" s="13"/>
      <c r="F137" s="13"/>
      <c r="G137" s="13"/>
      <c r="H137" s="13"/>
      <c r="I137" s="14"/>
      <c r="J137" s="14"/>
      <c r="K137" s="8" t="str">
        <f aca="false">IF(AND(ISNUMBER(B137),ISNUMBER(J137)),NETWORKDAYS(B137,J137,$Y$6:$Y$40)-1,"")</f>
        <v/>
      </c>
      <c r="L137" s="8" t="str">
        <f aca="false">IF(B137="","",IF(H137="Y",$B$8,$B$7))</f>
        <v/>
      </c>
      <c r="M137" s="8" t="str">
        <f aca="false">IF(K137="","",IF(K137&lt;=L137,"Yes","No"))</f>
        <v/>
      </c>
      <c r="N137" s="13"/>
      <c r="O137" s="13"/>
      <c r="P137" s="13"/>
      <c r="Q137" s="13"/>
      <c r="R137" s="14"/>
      <c r="S137" s="14"/>
      <c r="T137" s="8" t="str">
        <f aca="false">IF(AND(ISNUMBER(R137),ISNUMBER(S137)),NETWORKDAYS(R137,S137,$Y$6:$Y$40)-1,"")</f>
        <v/>
      </c>
      <c r="U137" s="8" t="str">
        <f aca="false">IF(T137="","",IF(T137&lt;=$B$10,"Yes","No"))</f>
        <v/>
      </c>
      <c r="V137" s="13"/>
    </row>
    <row r="138" customFormat="false" ht="15" hidden="false" customHeight="false" outlineLevel="0" collapsed="false">
      <c r="A138" s="13"/>
      <c r="B138" s="14"/>
      <c r="C138" s="13"/>
      <c r="D138" s="13"/>
      <c r="E138" s="13"/>
      <c r="F138" s="13"/>
      <c r="G138" s="13"/>
      <c r="H138" s="13"/>
      <c r="I138" s="14"/>
      <c r="J138" s="14"/>
      <c r="K138" s="8" t="str">
        <f aca="false">IF(AND(ISNUMBER(B138),ISNUMBER(J138)),NETWORKDAYS(B138,J138,$Y$6:$Y$40)-1,"")</f>
        <v/>
      </c>
      <c r="L138" s="8" t="str">
        <f aca="false">IF(B138="","",IF(H138="Y",$B$8,$B$7))</f>
        <v/>
      </c>
      <c r="M138" s="8" t="str">
        <f aca="false">IF(K138="","",IF(K138&lt;=L138,"Yes","No"))</f>
        <v/>
      </c>
      <c r="N138" s="13"/>
      <c r="O138" s="13"/>
      <c r="P138" s="13"/>
      <c r="Q138" s="13"/>
      <c r="R138" s="14"/>
      <c r="S138" s="14"/>
      <c r="T138" s="8" t="str">
        <f aca="false">IF(AND(ISNUMBER(R138),ISNUMBER(S138)),NETWORKDAYS(R138,S138,$Y$6:$Y$40)-1,"")</f>
        <v/>
      </c>
      <c r="U138" s="8" t="str">
        <f aca="false">IF(T138="","",IF(T138&lt;=$B$10,"Yes","No"))</f>
        <v/>
      </c>
      <c r="V138" s="13"/>
    </row>
    <row r="139" customFormat="false" ht="15" hidden="false" customHeight="false" outlineLevel="0" collapsed="false">
      <c r="A139" s="13"/>
      <c r="B139" s="14"/>
      <c r="C139" s="13"/>
      <c r="D139" s="13"/>
      <c r="E139" s="13"/>
      <c r="F139" s="13"/>
      <c r="G139" s="13"/>
      <c r="H139" s="13"/>
      <c r="I139" s="14"/>
      <c r="J139" s="14"/>
      <c r="K139" s="8" t="str">
        <f aca="false">IF(AND(ISNUMBER(B139),ISNUMBER(J139)),NETWORKDAYS(B139,J139,$Y$6:$Y$40)-1,"")</f>
        <v/>
      </c>
      <c r="L139" s="8" t="str">
        <f aca="false">IF(B139="","",IF(H139="Y",$B$8,$B$7))</f>
        <v/>
      </c>
      <c r="M139" s="8" t="str">
        <f aca="false">IF(K139="","",IF(K139&lt;=L139,"Yes","No"))</f>
        <v/>
      </c>
      <c r="N139" s="13"/>
      <c r="O139" s="13"/>
      <c r="P139" s="13"/>
      <c r="Q139" s="13"/>
      <c r="R139" s="14"/>
      <c r="S139" s="14"/>
      <c r="T139" s="8" t="str">
        <f aca="false">IF(AND(ISNUMBER(R139),ISNUMBER(S139)),NETWORKDAYS(R139,S139,$Y$6:$Y$40)-1,"")</f>
        <v/>
      </c>
      <c r="U139" s="8" t="str">
        <f aca="false">IF(T139="","",IF(T139&lt;=$B$10,"Yes","No"))</f>
        <v/>
      </c>
      <c r="V139" s="13"/>
    </row>
    <row r="140" customFormat="false" ht="15" hidden="false" customHeight="false" outlineLevel="0" collapsed="false">
      <c r="A140" s="13"/>
      <c r="B140" s="14"/>
      <c r="C140" s="13"/>
      <c r="D140" s="13"/>
      <c r="E140" s="13"/>
      <c r="F140" s="13"/>
      <c r="G140" s="13"/>
      <c r="H140" s="13"/>
      <c r="I140" s="14"/>
      <c r="J140" s="14"/>
      <c r="K140" s="8" t="str">
        <f aca="false">IF(AND(ISNUMBER(B140),ISNUMBER(J140)),NETWORKDAYS(B140,J140,$Y$6:$Y$40)-1,"")</f>
        <v/>
      </c>
      <c r="L140" s="8" t="str">
        <f aca="false">IF(B140="","",IF(H140="Y",$B$8,$B$7))</f>
        <v/>
      </c>
      <c r="M140" s="8" t="str">
        <f aca="false">IF(K140="","",IF(K140&lt;=L140,"Yes","No"))</f>
        <v/>
      </c>
      <c r="N140" s="13"/>
      <c r="O140" s="13"/>
      <c r="P140" s="13"/>
      <c r="Q140" s="13"/>
      <c r="R140" s="14"/>
      <c r="S140" s="14"/>
      <c r="T140" s="8" t="str">
        <f aca="false">IF(AND(ISNUMBER(R140),ISNUMBER(S140)),NETWORKDAYS(R140,S140,$Y$6:$Y$40)-1,"")</f>
        <v/>
      </c>
      <c r="U140" s="8" t="str">
        <f aca="false">IF(T140="","",IF(T140&lt;=$B$10,"Yes","No"))</f>
        <v/>
      </c>
      <c r="V140" s="13"/>
    </row>
    <row r="141" customFormat="false" ht="15" hidden="false" customHeight="false" outlineLevel="0" collapsed="false">
      <c r="A141" s="13"/>
      <c r="B141" s="14"/>
      <c r="C141" s="13"/>
      <c r="D141" s="13"/>
      <c r="E141" s="13"/>
      <c r="F141" s="13"/>
      <c r="G141" s="13"/>
      <c r="H141" s="13"/>
      <c r="I141" s="14"/>
      <c r="J141" s="14"/>
      <c r="K141" s="8" t="str">
        <f aca="false">IF(AND(ISNUMBER(B141),ISNUMBER(J141)),NETWORKDAYS(B141,J141,$Y$6:$Y$40)-1,"")</f>
        <v/>
      </c>
      <c r="L141" s="8" t="str">
        <f aca="false">IF(B141="","",IF(H141="Y",$B$8,$B$7))</f>
        <v/>
      </c>
      <c r="M141" s="8" t="str">
        <f aca="false">IF(K141="","",IF(K141&lt;=L141,"Yes","No"))</f>
        <v/>
      </c>
      <c r="N141" s="13"/>
      <c r="O141" s="13"/>
      <c r="P141" s="13"/>
      <c r="Q141" s="13"/>
      <c r="R141" s="14"/>
      <c r="S141" s="14"/>
      <c r="T141" s="8" t="str">
        <f aca="false">IF(AND(ISNUMBER(R141),ISNUMBER(S141)),NETWORKDAYS(R141,S141,$Y$6:$Y$40)-1,"")</f>
        <v/>
      </c>
      <c r="U141" s="8" t="str">
        <f aca="false">IF(T141="","",IF(T141&lt;=$B$10,"Yes","No"))</f>
        <v/>
      </c>
      <c r="V141" s="13"/>
    </row>
    <row r="142" customFormat="false" ht="15" hidden="false" customHeight="false" outlineLevel="0" collapsed="false">
      <c r="A142" s="13"/>
      <c r="B142" s="14"/>
      <c r="C142" s="13"/>
      <c r="D142" s="13"/>
      <c r="E142" s="13"/>
      <c r="F142" s="13"/>
      <c r="G142" s="13"/>
      <c r="H142" s="13"/>
      <c r="I142" s="14"/>
      <c r="J142" s="14"/>
      <c r="K142" s="8" t="str">
        <f aca="false">IF(AND(ISNUMBER(B142),ISNUMBER(J142)),NETWORKDAYS(B142,J142,$Y$6:$Y$40)-1,"")</f>
        <v/>
      </c>
      <c r="L142" s="8" t="str">
        <f aca="false">IF(B142="","",IF(H142="Y",$B$8,$B$7))</f>
        <v/>
      </c>
      <c r="M142" s="8" t="str">
        <f aca="false">IF(K142="","",IF(K142&lt;=L142,"Yes","No"))</f>
        <v/>
      </c>
      <c r="N142" s="13"/>
      <c r="O142" s="13"/>
      <c r="P142" s="13"/>
      <c r="Q142" s="13"/>
      <c r="R142" s="14"/>
      <c r="S142" s="14"/>
      <c r="T142" s="8" t="str">
        <f aca="false">IF(AND(ISNUMBER(R142),ISNUMBER(S142)),NETWORKDAYS(R142,S142,$Y$6:$Y$40)-1,"")</f>
        <v/>
      </c>
      <c r="U142" s="8" t="str">
        <f aca="false">IF(T142="","",IF(T142&lt;=$B$10,"Yes","No"))</f>
        <v/>
      </c>
      <c r="V142" s="13"/>
    </row>
    <row r="143" customFormat="false" ht="15" hidden="false" customHeight="false" outlineLevel="0" collapsed="false">
      <c r="A143" s="13"/>
      <c r="B143" s="14"/>
      <c r="C143" s="13"/>
      <c r="D143" s="13"/>
      <c r="E143" s="13"/>
      <c r="F143" s="13"/>
      <c r="G143" s="13"/>
      <c r="H143" s="13"/>
      <c r="I143" s="14"/>
      <c r="J143" s="14"/>
      <c r="K143" s="8" t="str">
        <f aca="false">IF(AND(ISNUMBER(B143),ISNUMBER(J143)),NETWORKDAYS(B143,J143,$Y$6:$Y$40)-1,"")</f>
        <v/>
      </c>
      <c r="L143" s="8" t="str">
        <f aca="false">IF(B143="","",IF(H143="Y",$B$8,$B$7))</f>
        <v/>
      </c>
      <c r="M143" s="8" t="str">
        <f aca="false">IF(K143="","",IF(K143&lt;=L143,"Yes","No"))</f>
        <v/>
      </c>
      <c r="N143" s="13"/>
      <c r="O143" s="13"/>
      <c r="P143" s="13"/>
      <c r="Q143" s="13"/>
      <c r="R143" s="14"/>
      <c r="S143" s="14"/>
      <c r="T143" s="8" t="str">
        <f aca="false">IF(AND(ISNUMBER(R143),ISNUMBER(S143)),NETWORKDAYS(R143,S143,$Y$6:$Y$40)-1,"")</f>
        <v/>
      </c>
      <c r="U143" s="8" t="str">
        <f aca="false">IF(T143="","",IF(T143&lt;=$B$10,"Yes","No"))</f>
        <v/>
      </c>
      <c r="V143" s="13"/>
    </row>
    <row r="144" customFormat="false" ht="15" hidden="false" customHeight="false" outlineLevel="0" collapsed="false">
      <c r="A144" s="13"/>
      <c r="B144" s="14"/>
      <c r="C144" s="13"/>
      <c r="D144" s="13"/>
      <c r="E144" s="13"/>
      <c r="F144" s="13"/>
      <c r="G144" s="13"/>
      <c r="H144" s="13"/>
      <c r="I144" s="14"/>
      <c r="J144" s="14"/>
      <c r="K144" s="8" t="str">
        <f aca="false">IF(AND(ISNUMBER(B144),ISNUMBER(J144)),NETWORKDAYS(B144,J144,$Y$6:$Y$40)-1,"")</f>
        <v/>
      </c>
      <c r="L144" s="8" t="str">
        <f aca="false">IF(B144="","",IF(H144="Y",$B$8,$B$7))</f>
        <v/>
      </c>
      <c r="M144" s="8" t="str">
        <f aca="false">IF(K144="","",IF(K144&lt;=L144,"Yes","No"))</f>
        <v/>
      </c>
      <c r="N144" s="13"/>
      <c r="O144" s="13"/>
      <c r="P144" s="13"/>
      <c r="Q144" s="13"/>
      <c r="R144" s="14"/>
      <c r="S144" s="14"/>
      <c r="T144" s="8" t="str">
        <f aca="false">IF(AND(ISNUMBER(R144),ISNUMBER(S144)),NETWORKDAYS(R144,S144,$Y$6:$Y$40)-1,"")</f>
        <v/>
      </c>
      <c r="U144" s="8" t="str">
        <f aca="false">IF(T144="","",IF(T144&lt;=$B$10,"Yes","No"))</f>
        <v/>
      </c>
      <c r="V144" s="13"/>
    </row>
    <row r="145" customFormat="false" ht="15" hidden="false" customHeight="false" outlineLevel="0" collapsed="false">
      <c r="A145" s="13"/>
      <c r="B145" s="14"/>
      <c r="C145" s="13"/>
      <c r="D145" s="13"/>
      <c r="E145" s="13"/>
      <c r="F145" s="13"/>
      <c r="G145" s="13"/>
      <c r="H145" s="13"/>
      <c r="I145" s="14"/>
      <c r="J145" s="14"/>
      <c r="K145" s="8" t="str">
        <f aca="false">IF(AND(ISNUMBER(B145),ISNUMBER(J145)),NETWORKDAYS(B145,J145,$Y$6:$Y$40)-1,"")</f>
        <v/>
      </c>
      <c r="L145" s="8" t="str">
        <f aca="false">IF(B145="","",IF(H145="Y",$B$8,$B$7))</f>
        <v/>
      </c>
      <c r="M145" s="8" t="str">
        <f aca="false">IF(K145="","",IF(K145&lt;=L145,"Yes","No"))</f>
        <v/>
      </c>
      <c r="N145" s="13"/>
      <c r="O145" s="13"/>
      <c r="P145" s="13"/>
      <c r="Q145" s="13"/>
      <c r="R145" s="14"/>
      <c r="S145" s="14"/>
      <c r="T145" s="8" t="str">
        <f aca="false">IF(AND(ISNUMBER(R145),ISNUMBER(S145)),NETWORKDAYS(R145,S145,$Y$6:$Y$40)-1,"")</f>
        <v/>
      </c>
      <c r="U145" s="8" t="str">
        <f aca="false">IF(T145="","",IF(T145&lt;=$B$10,"Yes","No"))</f>
        <v/>
      </c>
      <c r="V145" s="13"/>
    </row>
    <row r="146" customFormat="false" ht="15" hidden="false" customHeight="false" outlineLevel="0" collapsed="false">
      <c r="A146" s="13"/>
      <c r="B146" s="14"/>
      <c r="C146" s="13"/>
      <c r="D146" s="13"/>
      <c r="E146" s="13"/>
      <c r="F146" s="13"/>
      <c r="G146" s="13"/>
      <c r="H146" s="13"/>
      <c r="I146" s="14"/>
      <c r="J146" s="14"/>
      <c r="K146" s="8" t="str">
        <f aca="false">IF(AND(ISNUMBER(B146),ISNUMBER(J146)),NETWORKDAYS(B146,J146,$Y$6:$Y$40)-1,"")</f>
        <v/>
      </c>
      <c r="L146" s="8" t="str">
        <f aca="false">IF(B146="","",IF(H146="Y",$B$8,$B$7))</f>
        <v/>
      </c>
      <c r="M146" s="8" t="str">
        <f aca="false">IF(K146="","",IF(K146&lt;=L146,"Yes","No"))</f>
        <v/>
      </c>
      <c r="N146" s="13"/>
      <c r="O146" s="13"/>
      <c r="P146" s="13"/>
      <c r="Q146" s="13"/>
      <c r="R146" s="14"/>
      <c r="S146" s="14"/>
      <c r="T146" s="8" t="str">
        <f aca="false">IF(AND(ISNUMBER(R146),ISNUMBER(S146)),NETWORKDAYS(R146,S146,$Y$6:$Y$40)-1,"")</f>
        <v/>
      </c>
      <c r="U146" s="8" t="str">
        <f aca="false">IF(T146="","",IF(T146&lt;=$B$10,"Yes","No"))</f>
        <v/>
      </c>
      <c r="V146" s="13"/>
    </row>
    <row r="147" customFormat="false" ht="15" hidden="false" customHeight="false" outlineLevel="0" collapsed="false">
      <c r="A147" s="13"/>
      <c r="B147" s="14"/>
      <c r="C147" s="13"/>
      <c r="D147" s="13"/>
      <c r="E147" s="13"/>
      <c r="F147" s="13"/>
      <c r="G147" s="13"/>
      <c r="H147" s="13"/>
      <c r="I147" s="14"/>
      <c r="J147" s="14"/>
      <c r="K147" s="8" t="str">
        <f aca="false">IF(AND(ISNUMBER(B147),ISNUMBER(J147)),NETWORKDAYS(B147,J147,$Y$6:$Y$40)-1,"")</f>
        <v/>
      </c>
      <c r="L147" s="8" t="str">
        <f aca="false">IF(B147="","",IF(H147="Y",$B$8,$B$7))</f>
        <v/>
      </c>
      <c r="M147" s="8" t="str">
        <f aca="false">IF(K147="","",IF(K147&lt;=L147,"Yes","No"))</f>
        <v/>
      </c>
      <c r="N147" s="13"/>
      <c r="O147" s="13"/>
      <c r="P147" s="13"/>
      <c r="Q147" s="13"/>
      <c r="R147" s="14"/>
      <c r="S147" s="14"/>
      <c r="T147" s="8" t="str">
        <f aca="false">IF(AND(ISNUMBER(R147),ISNUMBER(S147)),NETWORKDAYS(R147,S147,$Y$6:$Y$40)-1,"")</f>
        <v/>
      </c>
      <c r="U147" s="8" t="str">
        <f aca="false">IF(T147="","",IF(T147&lt;=$B$10,"Yes","No"))</f>
        <v/>
      </c>
      <c r="V147" s="13"/>
    </row>
    <row r="148" customFormat="false" ht="15" hidden="false" customHeight="false" outlineLevel="0" collapsed="false">
      <c r="A148" s="13"/>
      <c r="B148" s="14"/>
      <c r="C148" s="13"/>
      <c r="D148" s="13"/>
      <c r="E148" s="13"/>
      <c r="F148" s="13"/>
      <c r="G148" s="13"/>
      <c r="H148" s="13"/>
      <c r="I148" s="14"/>
      <c r="J148" s="14"/>
      <c r="K148" s="8" t="str">
        <f aca="false">IF(AND(ISNUMBER(B148),ISNUMBER(J148)),NETWORKDAYS(B148,J148,$Y$6:$Y$40)-1,"")</f>
        <v/>
      </c>
      <c r="L148" s="8" t="str">
        <f aca="false">IF(B148="","",IF(H148="Y",$B$8,$B$7))</f>
        <v/>
      </c>
      <c r="M148" s="8" t="str">
        <f aca="false">IF(K148="","",IF(K148&lt;=L148,"Yes","No"))</f>
        <v/>
      </c>
      <c r="N148" s="13"/>
      <c r="O148" s="13"/>
      <c r="P148" s="13"/>
      <c r="Q148" s="13"/>
      <c r="R148" s="14"/>
      <c r="S148" s="14"/>
      <c r="T148" s="8" t="str">
        <f aca="false">IF(AND(ISNUMBER(R148),ISNUMBER(S148)),NETWORKDAYS(R148,S148,$Y$6:$Y$40)-1,"")</f>
        <v/>
      </c>
      <c r="U148" s="8" t="str">
        <f aca="false">IF(T148="","",IF(T148&lt;=$B$10,"Yes","No"))</f>
        <v/>
      </c>
      <c r="V148" s="13"/>
    </row>
    <row r="149" customFormat="false" ht="15" hidden="false" customHeight="false" outlineLevel="0" collapsed="false">
      <c r="A149" s="13"/>
      <c r="B149" s="14"/>
      <c r="C149" s="13"/>
      <c r="D149" s="13"/>
      <c r="E149" s="13"/>
      <c r="F149" s="13"/>
      <c r="G149" s="13"/>
      <c r="H149" s="13"/>
      <c r="I149" s="14"/>
      <c r="J149" s="14"/>
      <c r="K149" s="8" t="str">
        <f aca="false">IF(AND(ISNUMBER(B149),ISNUMBER(J149)),NETWORKDAYS(B149,J149,$Y$6:$Y$40)-1,"")</f>
        <v/>
      </c>
      <c r="L149" s="8" t="str">
        <f aca="false">IF(B149="","",IF(H149="Y",$B$8,$B$7))</f>
        <v/>
      </c>
      <c r="M149" s="8" t="str">
        <f aca="false">IF(K149="","",IF(K149&lt;=L149,"Yes","No"))</f>
        <v/>
      </c>
      <c r="N149" s="13"/>
      <c r="O149" s="13"/>
      <c r="P149" s="13"/>
      <c r="Q149" s="13"/>
      <c r="R149" s="14"/>
      <c r="S149" s="14"/>
      <c r="T149" s="8" t="str">
        <f aca="false">IF(AND(ISNUMBER(R149),ISNUMBER(S149)),NETWORKDAYS(R149,S149,$Y$6:$Y$40)-1,"")</f>
        <v/>
      </c>
      <c r="U149" s="8" t="str">
        <f aca="false">IF(T149="","",IF(T149&lt;=$B$10,"Yes","No"))</f>
        <v/>
      </c>
      <c r="V149" s="13"/>
    </row>
    <row r="150" customFormat="false" ht="15" hidden="false" customHeight="false" outlineLevel="0" collapsed="false">
      <c r="A150" s="13"/>
      <c r="B150" s="14"/>
      <c r="C150" s="13"/>
      <c r="D150" s="13"/>
      <c r="E150" s="13"/>
      <c r="F150" s="13"/>
      <c r="G150" s="13"/>
      <c r="H150" s="13"/>
      <c r="I150" s="14"/>
      <c r="J150" s="14"/>
      <c r="K150" s="8" t="str">
        <f aca="false">IF(AND(ISNUMBER(B150),ISNUMBER(J150)),NETWORKDAYS(B150,J150,$Y$6:$Y$40)-1,"")</f>
        <v/>
      </c>
      <c r="L150" s="8" t="str">
        <f aca="false">IF(B150="","",IF(H150="Y",$B$8,$B$7))</f>
        <v/>
      </c>
      <c r="M150" s="8" t="str">
        <f aca="false">IF(K150="","",IF(K150&lt;=L150,"Yes","No"))</f>
        <v/>
      </c>
      <c r="N150" s="13"/>
      <c r="O150" s="13"/>
      <c r="P150" s="13"/>
      <c r="Q150" s="13"/>
      <c r="R150" s="14"/>
      <c r="S150" s="14"/>
      <c r="T150" s="8" t="str">
        <f aca="false">IF(AND(ISNUMBER(R150),ISNUMBER(S150)),NETWORKDAYS(R150,S150,$Y$6:$Y$40)-1,"")</f>
        <v/>
      </c>
      <c r="U150" s="8" t="str">
        <f aca="false">IF(T150="","",IF(T150&lt;=$B$10,"Yes","No"))</f>
        <v/>
      </c>
      <c r="V150" s="13"/>
    </row>
    <row r="151" customFormat="false" ht="15" hidden="false" customHeight="false" outlineLevel="0" collapsed="false">
      <c r="A151" s="13"/>
      <c r="B151" s="14"/>
      <c r="C151" s="13"/>
      <c r="D151" s="13"/>
      <c r="E151" s="13"/>
      <c r="F151" s="13"/>
      <c r="G151" s="13"/>
      <c r="H151" s="13"/>
      <c r="I151" s="14"/>
      <c r="J151" s="14"/>
      <c r="K151" s="8" t="str">
        <f aca="false">IF(AND(ISNUMBER(B151),ISNUMBER(J151)),NETWORKDAYS(B151,J151,$Y$6:$Y$40)-1,"")</f>
        <v/>
      </c>
      <c r="L151" s="8" t="str">
        <f aca="false">IF(B151="","",IF(H151="Y",$B$8,$B$7))</f>
        <v/>
      </c>
      <c r="M151" s="8" t="str">
        <f aca="false">IF(K151="","",IF(K151&lt;=L151,"Yes","No"))</f>
        <v/>
      </c>
      <c r="N151" s="13"/>
      <c r="O151" s="13"/>
      <c r="P151" s="13"/>
      <c r="Q151" s="13"/>
      <c r="R151" s="14"/>
      <c r="S151" s="14"/>
      <c r="T151" s="8" t="str">
        <f aca="false">IF(AND(ISNUMBER(R151),ISNUMBER(S151)),NETWORKDAYS(R151,S151,$Y$6:$Y$40)-1,"")</f>
        <v/>
      </c>
      <c r="U151" s="8" t="str">
        <f aca="false">IF(T151="","",IF(T151&lt;=$B$10,"Yes","No"))</f>
        <v/>
      </c>
      <c r="V151" s="13"/>
    </row>
    <row r="152" customFormat="false" ht="15" hidden="false" customHeight="false" outlineLevel="0" collapsed="false">
      <c r="A152" s="13"/>
      <c r="B152" s="14"/>
      <c r="C152" s="13"/>
      <c r="D152" s="13"/>
      <c r="E152" s="13"/>
      <c r="F152" s="13"/>
      <c r="G152" s="13"/>
      <c r="H152" s="13"/>
      <c r="I152" s="14"/>
      <c r="J152" s="14"/>
      <c r="K152" s="8" t="str">
        <f aca="false">IF(AND(ISNUMBER(B152),ISNUMBER(J152)),NETWORKDAYS(B152,J152,$Y$6:$Y$40)-1,"")</f>
        <v/>
      </c>
      <c r="L152" s="8" t="str">
        <f aca="false">IF(B152="","",IF(H152="Y",$B$8,$B$7))</f>
        <v/>
      </c>
      <c r="M152" s="8" t="str">
        <f aca="false">IF(K152="","",IF(K152&lt;=L152,"Yes","No"))</f>
        <v/>
      </c>
      <c r="N152" s="13"/>
      <c r="O152" s="13"/>
      <c r="P152" s="13"/>
      <c r="Q152" s="13"/>
      <c r="R152" s="14"/>
      <c r="S152" s="14"/>
      <c r="T152" s="8" t="str">
        <f aca="false">IF(AND(ISNUMBER(R152),ISNUMBER(S152)),NETWORKDAYS(R152,S152,$Y$6:$Y$40)-1,"")</f>
        <v/>
      </c>
      <c r="U152" s="8" t="str">
        <f aca="false">IF(T152="","",IF(T152&lt;=$B$10,"Yes","No"))</f>
        <v/>
      </c>
      <c r="V152" s="13"/>
    </row>
    <row r="153" customFormat="false" ht="15" hidden="false" customHeight="false" outlineLevel="0" collapsed="false">
      <c r="A153" s="13"/>
      <c r="B153" s="14"/>
      <c r="C153" s="13"/>
      <c r="D153" s="13"/>
      <c r="E153" s="13"/>
      <c r="F153" s="13"/>
      <c r="G153" s="13"/>
      <c r="H153" s="13"/>
      <c r="I153" s="14"/>
      <c r="J153" s="14"/>
      <c r="K153" s="8" t="str">
        <f aca="false">IF(AND(ISNUMBER(B153),ISNUMBER(J153)),NETWORKDAYS(B153,J153,$Y$6:$Y$40)-1,"")</f>
        <v/>
      </c>
      <c r="L153" s="8" t="str">
        <f aca="false">IF(B153="","",IF(H153="Y",$B$8,$B$7))</f>
        <v/>
      </c>
      <c r="M153" s="8" t="str">
        <f aca="false">IF(K153="","",IF(K153&lt;=L153,"Yes","No"))</f>
        <v/>
      </c>
      <c r="N153" s="13"/>
      <c r="O153" s="13"/>
      <c r="P153" s="13"/>
      <c r="Q153" s="13"/>
      <c r="R153" s="14"/>
      <c r="S153" s="14"/>
      <c r="T153" s="8" t="str">
        <f aca="false">IF(AND(ISNUMBER(R153),ISNUMBER(S153)),NETWORKDAYS(R153,S153,$Y$6:$Y$40)-1,"")</f>
        <v/>
      </c>
      <c r="U153" s="8" t="str">
        <f aca="false">IF(T153="","",IF(T153&lt;=$B$10,"Yes","No"))</f>
        <v/>
      </c>
      <c r="V153" s="13"/>
    </row>
    <row r="154" customFormat="false" ht="15" hidden="false" customHeight="false" outlineLevel="0" collapsed="false">
      <c r="A154" s="13"/>
      <c r="B154" s="14"/>
      <c r="C154" s="13"/>
      <c r="D154" s="13"/>
      <c r="E154" s="13"/>
      <c r="F154" s="13"/>
      <c r="G154" s="13"/>
      <c r="H154" s="13"/>
      <c r="I154" s="14"/>
      <c r="J154" s="14"/>
      <c r="K154" s="8" t="str">
        <f aca="false">IF(AND(ISNUMBER(B154),ISNUMBER(J154)),NETWORKDAYS(B154,J154,$Y$6:$Y$40)-1,"")</f>
        <v/>
      </c>
      <c r="L154" s="8" t="str">
        <f aca="false">IF(B154="","",IF(H154="Y",$B$8,$B$7))</f>
        <v/>
      </c>
      <c r="M154" s="8" t="str">
        <f aca="false">IF(K154="","",IF(K154&lt;=L154,"Yes","No"))</f>
        <v/>
      </c>
      <c r="N154" s="13"/>
      <c r="O154" s="13"/>
      <c r="P154" s="13"/>
      <c r="Q154" s="13"/>
      <c r="R154" s="14"/>
      <c r="S154" s="14"/>
      <c r="T154" s="8" t="str">
        <f aca="false">IF(AND(ISNUMBER(R154),ISNUMBER(S154)),NETWORKDAYS(R154,S154,$Y$6:$Y$40)-1,"")</f>
        <v/>
      </c>
      <c r="U154" s="8" t="str">
        <f aca="false">IF(T154="","",IF(T154&lt;=$B$10,"Yes","No"))</f>
        <v/>
      </c>
      <c r="V154" s="13"/>
    </row>
    <row r="155" customFormat="false" ht="15" hidden="false" customHeight="false" outlineLevel="0" collapsed="false">
      <c r="A155" s="13"/>
      <c r="B155" s="14"/>
      <c r="C155" s="13"/>
      <c r="D155" s="13"/>
      <c r="E155" s="13"/>
      <c r="F155" s="13"/>
      <c r="G155" s="13"/>
      <c r="H155" s="13"/>
      <c r="I155" s="14"/>
      <c r="J155" s="14"/>
      <c r="K155" s="8" t="str">
        <f aca="false">IF(AND(ISNUMBER(B155),ISNUMBER(J155)),NETWORKDAYS(B155,J155,$Y$6:$Y$40)-1,"")</f>
        <v/>
      </c>
      <c r="L155" s="8" t="str">
        <f aca="false">IF(B155="","",IF(H155="Y",$B$8,$B$7))</f>
        <v/>
      </c>
      <c r="M155" s="8" t="str">
        <f aca="false">IF(K155="","",IF(K155&lt;=L155,"Yes","No"))</f>
        <v/>
      </c>
      <c r="N155" s="13"/>
      <c r="O155" s="13"/>
      <c r="P155" s="13"/>
      <c r="Q155" s="13"/>
      <c r="R155" s="14"/>
      <c r="S155" s="14"/>
      <c r="T155" s="8" t="str">
        <f aca="false">IF(AND(ISNUMBER(R155),ISNUMBER(S155)),NETWORKDAYS(R155,S155,$Y$6:$Y$40)-1,"")</f>
        <v/>
      </c>
      <c r="U155" s="8" t="str">
        <f aca="false">IF(T155="","",IF(T155&lt;=$B$10,"Yes","No"))</f>
        <v/>
      </c>
      <c r="V155" s="13"/>
    </row>
    <row r="156" customFormat="false" ht="15" hidden="false" customHeight="false" outlineLevel="0" collapsed="false">
      <c r="A156" s="13"/>
      <c r="B156" s="14"/>
      <c r="C156" s="13"/>
      <c r="D156" s="13"/>
      <c r="E156" s="13"/>
      <c r="F156" s="13"/>
      <c r="G156" s="13"/>
      <c r="H156" s="13"/>
      <c r="I156" s="14"/>
      <c r="J156" s="14"/>
      <c r="K156" s="8" t="str">
        <f aca="false">IF(AND(ISNUMBER(B156),ISNUMBER(J156)),NETWORKDAYS(B156,J156,$Y$6:$Y$40)-1,"")</f>
        <v/>
      </c>
      <c r="L156" s="8" t="str">
        <f aca="false">IF(B156="","",IF(H156="Y",$B$8,$B$7))</f>
        <v/>
      </c>
      <c r="M156" s="8" t="str">
        <f aca="false">IF(K156="","",IF(K156&lt;=L156,"Yes","No"))</f>
        <v/>
      </c>
      <c r="N156" s="13"/>
      <c r="O156" s="13"/>
      <c r="P156" s="13"/>
      <c r="Q156" s="13"/>
      <c r="R156" s="14"/>
      <c r="S156" s="14"/>
      <c r="T156" s="8" t="str">
        <f aca="false">IF(AND(ISNUMBER(R156),ISNUMBER(S156)),NETWORKDAYS(R156,S156,$Y$6:$Y$40)-1,"")</f>
        <v/>
      </c>
      <c r="U156" s="8" t="str">
        <f aca="false">IF(T156="","",IF(T156&lt;=$B$10,"Yes","No"))</f>
        <v/>
      </c>
      <c r="V156" s="13"/>
    </row>
    <row r="157" customFormat="false" ht="15" hidden="false" customHeight="false" outlineLevel="0" collapsed="false">
      <c r="A157" s="13"/>
      <c r="B157" s="14"/>
      <c r="C157" s="13"/>
      <c r="D157" s="13"/>
      <c r="E157" s="13"/>
      <c r="F157" s="13"/>
      <c r="G157" s="13"/>
      <c r="H157" s="13"/>
      <c r="I157" s="14"/>
      <c r="J157" s="14"/>
      <c r="K157" s="8" t="str">
        <f aca="false">IF(AND(ISNUMBER(B157),ISNUMBER(J157)),NETWORKDAYS(B157,J157,$Y$6:$Y$40)-1,"")</f>
        <v/>
      </c>
      <c r="L157" s="8" t="str">
        <f aca="false">IF(B157="","",IF(H157="Y",$B$8,$B$7))</f>
        <v/>
      </c>
      <c r="M157" s="8" t="str">
        <f aca="false">IF(K157="","",IF(K157&lt;=L157,"Yes","No"))</f>
        <v/>
      </c>
      <c r="N157" s="13"/>
      <c r="O157" s="13"/>
      <c r="P157" s="13"/>
      <c r="Q157" s="13"/>
      <c r="R157" s="14"/>
      <c r="S157" s="14"/>
      <c r="T157" s="8" t="str">
        <f aca="false">IF(AND(ISNUMBER(R157),ISNUMBER(S157)),NETWORKDAYS(R157,S157,$Y$6:$Y$40)-1,"")</f>
        <v/>
      </c>
      <c r="U157" s="8" t="str">
        <f aca="false">IF(T157="","",IF(T157&lt;=$B$10,"Yes","No"))</f>
        <v/>
      </c>
      <c r="V157" s="13"/>
    </row>
    <row r="158" customFormat="false" ht="15" hidden="false" customHeight="false" outlineLevel="0" collapsed="false">
      <c r="A158" s="13"/>
      <c r="B158" s="14"/>
      <c r="C158" s="13"/>
      <c r="D158" s="13"/>
      <c r="E158" s="13"/>
      <c r="F158" s="13"/>
      <c r="G158" s="13"/>
      <c r="H158" s="13"/>
      <c r="I158" s="14"/>
      <c r="J158" s="14"/>
      <c r="K158" s="8" t="str">
        <f aca="false">IF(AND(ISNUMBER(B158),ISNUMBER(J158)),NETWORKDAYS(B158,J158,$Y$6:$Y$40)-1,"")</f>
        <v/>
      </c>
      <c r="L158" s="8" t="str">
        <f aca="false">IF(B158="","",IF(H158="Y",$B$8,$B$7))</f>
        <v/>
      </c>
      <c r="M158" s="8" t="str">
        <f aca="false">IF(K158="","",IF(K158&lt;=L158,"Yes","No"))</f>
        <v/>
      </c>
      <c r="N158" s="13"/>
      <c r="O158" s="13"/>
      <c r="P158" s="13"/>
      <c r="Q158" s="13"/>
      <c r="R158" s="14"/>
      <c r="S158" s="14"/>
      <c r="T158" s="8" t="str">
        <f aca="false">IF(AND(ISNUMBER(R158),ISNUMBER(S158)),NETWORKDAYS(R158,S158,$Y$6:$Y$40)-1,"")</f>
        <v/>
      </c>
      <c r="U158" s="8" t="str">
        <f aca="false">IF(T158="","",IF(T158&lt;=$B$10,"Yes","No"))</f>
        <v/>
      </c>
      <c r="V158" s="13"/>
    </row>
    <row r="159" customFormat="false" ht="15" hidden="false" customHeight="false" outlineLevel="0" collapsed="false">
      <c r="A159" s="13"/>
      <c r="B159" s="14"/>
      <c r="C159" s="13"/>
      <c r="D159" s="13"/>
      <c r="E159" s="13"/>
      <c r="F159" s="13"/>
      <c r="G159" s="13"/>
      <c r="H159" s="13"/>
      <c r="I159" s="14"/>
      <c r="J159" s="14"/>
      <c r="K159" s="8" t="str">
        <f aca="false">IF(AND(ISNUMBER(B159),ISNUMBER(J159)),NETWORKDAYS(B159,J159,$Y$6:$Y$40)-1,"")</f>
        <v/>
      </c>
      <c r="L159" s="8" t="str">
        <f aca="false">IF(B159="","",IF(H159="Y",$B$8,$B$7))</f>
        <v/>
      </c>
      <c r="M159" s="8" t="str">
        <f aca="false">IF(K159="","",IF(K159&lt;=L159,"Yes","No"))</f>
        <v/>
      </c>
      <c r="N159" s="13"/>
      <c r="O159" s="13"/>
      <c r="P159" s="13"/>
      <c r="Q159" s="13"/>
      <c r="R159" s="14"/>
      <c r="S159" s="14"/>
      <c r="T159" s="8" t="str">
        <f aca="false">IF(AND(ISNUMBER(R159),ISNUMBER(S159)),NETWORKDAYS(R159,S159,$Y$6:$Y$40)-1,"")</f>
        <v/>
      </c>
      <c r="U159" s="8" t="str">
        <f aca="false">IF(T159="","",IF(T159&lt;=$B$10,"Yes","No"))</f>
        <v/>
      </c>
      <c r="V159" s="13"/>
    </row>
    <row r="160" customFormat="false" ht="15" hidden="false" customHeight="false" outlineLevel="0" collapsed="false">
      <c r="A160" s="13"/>
      <c r="B160" s="14"/>
      <c r="C160" s="13"/>
      <c r="D160" s="13"/>
      <c r="E160" s="13"/>
      <c r="F160" s="13"/>
      <c r="G160" s="13"/>
      <c r="H160" s="13"/>
      <c r="I160" s="14"/>
      <c r="J160" s="14"/>
      <c r="K160" s="8" t="str">
        <f aca="false">IF(AND(ISNUMBER(B160),ISNUMBER(J160)),NETWORKDAYS(B160,J160,$Y$6:$Y$40)-1,"")</f>
        <v/>
      </c>
      <c r="L160" s="8" t="str">
        <f aca="false">IF(B160="","",IF(H160="Y",$B$8,$B$7))</f>
        <v/>
      </c>
      <c r="M160" s="8" t="str">
        <f aca="false">IF(K160="","",IF(K160&lt;=L160,"Yes","No"))</f>
        <v/>
      </c>
      <c r="N160" s="13"/>
      <c r="O160" s="13"/>
      <c r="P160" s="13"/>
      <c r="Q160" s="13"/>
      <c r="R160" s="14"/>
      <c r="S160" s="14"/>
      <c r="T160" s="8" t="str">
        <f aca="false">IF(AND(ISNUMBER(R160),ISNUMBER(S160)),NETWORKDAYS(R160,S160,$Y$6:$Y$40)-1,"")</f>
        <v/>
      </c>
      <c r="U160" s="8" t="str">
        <f aca="false">IF(T160="","",IF(T160&lt;=$B$10,"Yes","No"))</f>
        <v/>
      </c>
      <c r="V160" s="13"/>
    </row>
    <row r="161" customFormat="false" ht="15" hidden="false" customHeight="false" outlineLevel="0" collapsed="false">
      <c r="A161" s="13"/>
      <c r="B161" s="14"/>
      <c r="C161" s="13"/>
      <c r="D161" s="13"/>
      <c r="E161" s="13"/>
      <c r="F161" s="13"/>
      <c r="G161" s="13"/>
      <c r="H161" s="13"/>
      <c r="I161" s="14"/>
      <c r="J161" s="14"/>
      <c r="K161" s="8" t="str">
        <f aca="false">IF(AND(ISNUMBER(B161),ISNUMBER(J161)),NETWORKDAYS(B161,J161,$Y$6:$Y$40)-1,"")</f>
        <v/>
      </c>
      <c r="L161" s="8" t="str">
        <f aca="false">IF(B161="","",IF(H161="Y",$B$8,$B$7))</f>
        <v/>
      </c>
      <c r="M161" s="8" t="str">
        <f aca="false">IF(K161="","",IF(K161&lt;=L161,"Yes","No"))</f>
        <v/>
      </c>
      <c r="N161" s="13"/>
      <c r="O161" s="13"/>
      <c r="P161" s="13"/>
      <c r="Q161" s="13"/>
      <c r="R161" s="14"/>
      <c r="S161" s="14"/>
      <c r="T161" s="8" t="str">
        <f aca="false">IF(AND(ISNUMBER(R161),ISNUMBER(S161)),NETWORKDAYS(R161,S161,$Y$6:$Y$40)-1,"")</f>
        <v/>
      </c>
      <c r="U161" s="8" t="str">
        <f aca="false">IF(T161="","",IF(T161&lt;=$B$10,"Yes","No"))</f>
        <v/>
      </c>
      <c r="V161" s="13"/>
    </row>
    <row r="162" customFormat="false" ht="15" hidden="false" customHeight="false" outlineLevel="0" collapsed="false">
      <c r="A162" s="13"/>
      <c r="B162" s="14"/>
      <c r="C162" s="13"/>
      <c r="D162" s="13"/>
      <c r="E162" s="13"/>
      <c r="F162" s="13"/>
      <c r="G162" s="13"/>
      <c r="H162" s="13"/>
      <c r="I162" s="14"/>
      <c r="J162" s="14"/>
      <c r="K162" s="8" t="str">
        <f aca="false">IF(AND(ISNUMBER(B162),ISNUMBER(J162)),NETWORKDAYS(B162,J162,$Y$6:$Y$40)-1,"")</f>
        <v/>
      </c>
      <c r="L162" s="8" t="str">
        <f aca="false">IF(B162="","",IF(H162="Y",$B$8,$B$7))</f>
        <v/>
      </c>
      <c r="M162" s="8" t="str">
        <f aca="false">IF(K162="","",IF(K162&lt;=L162,"Yes","No"))</f>
        <v/>
      </c>
      <c r="N162" s="13"/>
      <c r="O162" s="13"/>
      <c r="P162" s="13"/>
      <c r="Q162" s="13"/>
      <c r="R162" s="14"/>
      <c r="S162" s="14"/>
      <c r="T162" s="8" t="str">
        <f aca="false">IF(AND(ISNUMBER(R162),ISNUMBER(S162)),NETWORKDAYS(R162,S162,$Y$6:$Y$40)-1,"")</f>
        <v/>
      </c>
      <c r="U162" s="8" t="str">
        <f aca="false">IF(T162="","",IF(T162&lt;=$B$10,"Yes","No"))</f>
        <v/>
      </c>
      <c r="V162" s="13"/>
    </row>
    <row r="163" customFormat="false" ht="15" hidden="false" customHeight="false" outlineLevel="0" collapsed="false">
      <c r="A163" s="13"/>
      <c r="B163" s="14"/>
      <c r="C163" s="13"/>
      <c r="D163" s="13"/>
      <c r="E163" s="13"/>
      <c r="F163" s="13"/>
      <c r="G163" s="13"/>
      <c r="H163" s="13"/>
      <c r="I163" s="14"/>
      <c r="J163" s="14"/>
      <c r="K163" s="8" t="str">
        <f aca="false">IF(AND(ISNUMBER(B163),ISNUMBER(J163)),NETWORKDAYS(B163,J163,$Y$6:$Y$40)-1,"")</f>
        <v/>
      </c>
      <c r="L163" s="8" t="str">
        <f aca="false">IF(B163="","",IF(H163="Y",$B$8,$B$7))</f>
        <v/>
      </c>
      <c r="M163" s="8" t="str">
        <f aca="false">IF(K163="","",IF(K163&lt;=L163,"Yes","No"))</f>
        <v/>
      </c>
      <c r="N163" s="13"/>
      <c r="O163" s="13"/>
      <c r="P163" s="13"/>
      <c r="Q163" s="13"/>
      <c r="R163" s="14"/>
      <c r="S163" s="14"/>
      <c r="T163" s="8" t="str">
        <f aca="false">IF(AND(ISNUMBER(R163),ISNUMBER(S163)),NETWORKDAYS(R163,S163,$Y$6:$Y$40)-1,"")</f>
        <v/>
      </c>
      <c r="U163" s="8" t="str">
        <f aca="false">IF(T163="","",IF(T163&lt;=$B$10,"Yes","No"))</f>
        <v/>
      </c>
      <c r="V163" s="13"/>
    </row>
    <row r="164" customFormat="false" ht="15" hidden="false" customHeight="false" outlineLevel="0" collapsed="false">
      <c r="A164" s="13"/>
      <c r="B164" s="14"/>
      <c r="C164" s="13"/>
      <c r="D164" s="13"/>
      <c r="E164" s="13"/>
      <c r="F164" s="13"/>
      <c r="G164" s="13"/>
      <c r="H164" s="13"/>
      <c r="I164" s="14"/>
      <c r="J164" s="14"/>
      <c r="K164" s="8" t="str">
        <f aca="false">IF(AND(ISNUMBER(B164),ISNUMBER(J164)),NETWORKDAYS(B164,J164,$Y$6:$Y$40)-1,"")</f>
        <v/>
      </c>
      <c r="L164" s="8" t="str">
        <f aca="false">IF(B164="","",IF(H164="Y",$B$8,$B$7))</f>
        <v/>
      </c>
      <c r="M164" s="8" t="str">
        <f aca="false">IF(K164="","",IF(K164&lt;=L164,"Yes","No"))</f>
        <v/>
      </c>
      <c r="N164" s="13"/>
      <c r="O164" s="13"/>
      <c r="P164" s="13"/>
      <c r="Q164" s="13"/>
      <c r="R164" s="14"/>
      <c r="S164" s="14"/>
      <c r="T164" s="8" t="str">
        <f aca="false">IF(AND(ISNUMBER(R164),ISNUMBER(S164)),NETWORKDAYS(R164,S164,$Y$6:$Y$40)-1,"")</f>
        <v/>
      </c>
      <c r="U164" s="8" t="str">
        <f aca="false">IF(T164="","",IF(T164&lt;=$B$10,"Yes","No"))</f>
        <v/>
      </c>
      <c r="V164" s="13"/>
    </row>
    <row r="165" customFormat="false" ht="15" hidden="false" customHeight="false" outlineLevel="0" collapsed="false">
      <c r="A165" s="13"/>
      <c r="B165" s="14"/>
      <c r="C165" s="13"/>
      <c r="D165" s="13"/>
      <c r="E165" s="13"/>
      <c r="F165" s="13"/>
      <c r="G165" s="13"/>
      <c r="H165" s="13"/>
      <c r="I165" s="14"/>
      <c r="J165" s="14"/>
      <c r="K165" s="8" t="str">
        <f aca="false">IF(AND(ISNUMBER(B165),ISNUMBER(J165)),NETWORKDAYS(B165,J165,$Y$6:$Y$40)-1,"")</f>
        <v/>
      </c>
      <c r="L165" s="8" t="str">
        <f aca="false">IF(B165="","",IF(H165="Y",$B$8,$B$7))</f>
        <v/>
      </c>
      <c r="M165" s="8" t="str">
        <f aca="false">IF(K165="","",IF(K165&lt;=L165,"Yes","No"))</f>
        <v/>
      </c>
      <c r="N165" s="13"/>
      <c r="O165" s="13"/>
      <c r="P165" s="13"/>
      <c r="Q165" s="13"/>
      <c r="R165" s="14"/>
      <c r="S165" s="14"/>
      <c r="T165" s="8" t="str">
        <f aca="false">IF(AND(ISNUMBER(R165),ISNUMBER(S165)),NETWORKDAYS(R165,S165,$Y$6:$Y$40)-1,"")</f>
        <v/>
      </c>
      <c r="U165" s="8" t="str">
        <f aca="false">IF(T165="","",IF(T165&lt;=$B$10,"Yes","No"))</f>
        <v/>
      </c>
      <c r="V165" s="13"/>
    </row>
    <row r="166" customFormat="false" ht="15" hidden="false" customHeight="false" outlineLevel="0" collapsed="false">
      <c r="A166" s="13"/>
      <c r="B166" s="14"/>
      <c r="C166" s="13"/>
      <c r="D166" s="13"/>
      <c r="E166" s="13"/>
      <c r="F166" s="13"/>
      <c r="G166" s="13"/>
      <c r="H166" s="13"/>
      <c r="I166" s="14"/>
      <c r="J166" s="14"/>
      <c r="K166" s="8" t="str">
        <f aca="false">IF(AND(ISNUMBER(B166),ISNUMBER(J166)),NETWORKDAYS(B166,J166,$Y$6:$Y$40)-1,"")</f>
        <v/>
      </c>
      <c r="L166" s="8" t="str">
        <f aca="false">IF(B166="","",IF(H166="Y",$B$8,$B$7))</f>
        <v/>
      </c>
      <c r="M166" s="8" t="str">
        <f aca="false">IF(K166="","",IF(K166&lt;=L166,"Yes","No"))</f>
        <v/>
      </c>
      <c r="N166" s="13"/>
      <c r="O166" s="13"/>
      <c r="P166" s="13"/>
      <c r="Q166" s="13"/>
      <c r="R166" s="14"/>
      <c r="S166" s="14"/>
      <c r="T166" s="8" t="str">
        <f aca="false">IF(AND(ISNUMBER(R166),ISNUMBER(S166)),NETWORKDAYS(R166,S166,$Y$6:$Y$40)-1,"")</f>
        <v/>
      </c>
      <c r="U166" s="8" t="str">
        <f aca="false">IF(T166="","",IF(T166&lt;=$B$10,"Yes","No"))</f>
        <v/>
      </c>
      <c r="V166" s="13"/>
    </row>
    <row r="167" customFormat="false" ht="15" hidden="false" customHeight="false" outlineLevel="0" collapsed="false">
      <c r="A167" s="13"/>
      <c r="B167" s="14"/>
      <c r="C167" s="13"/>
      <c r="D167" s="13"/>
      <c r="E167" s="13"/>
      <c r="F167" s="13"/>
      <c r="G167" s="13"/>
      <c r="H167" s="13"/>
      <c r="I167" s="14"/>
      <c r="J167" s="14"/>
      <c r="K167" s="8" t="str">
        <f aca="false">IF(AND(ISNUMBER(B167),ISNUMBER(J167)),NETWORKDAYS(B167,J167,$Y$6:$Y$40)-1,"")</f>
        <v/>
      </c>
      <c r="L167" s="8" t="str">
        <f aca="false">IF(B167="","",IF(H167="Y",$B$8,$B$7))</f>
        <v/>
      </c>
      <c r="M167" s="8" t="str">
        <f aca="false">IF(K167="","",IF(K167&lt;=L167,"Yes","No"))</f>
        <v/>
      </c>
      <c r="N167" s="13"/>
      <c r="O167" s="13"/>
      <c r="P167" s="13"/>
      <c r="Q167" s="13"/>
      <c r="R167" s="14"/>
      <c r="S167" s="14"/>
      <c r="T167" s="8" t="str">
        <f aca="false">IF(AND(ISNUMBER(R167),ISNUMBER(S167)),NETWORKDAYS(R167,S167,$Y$6:$Y$40)-1,"")</f>
        <v/>
      </c>
      <c r="U167" s="8" t="str">
        <f aca="false">IF(T167="","",IF(T167&lt;=$B$10,"Yes","No"))</f>
        <v/>
      </c>
      <c r="V167" s="13"/>
    </row>
    <row r="168" customFormat="false" ht="15" hidden="false" customHeight="false" outlineLevel="0" collapsed="false">
      <c r="A168" s="13"/>
      <c r="B168" s="14"/>
      <c r="C168" s="13"/>
      <c r="D168" s="13"/>
      <c r="E168" s="13"/>
      <c r="F168" s="13"/>
      <c r="G168" s="13"/>
      <c r="H168" s="13"/>
      <c r="I168" s="14"/>
      <c r="J168" s="14"/>
      <c r="K168" s="8" t="str">
        <f aca="false">IF(AND(ISNUMBER(B168),ISNUMBER(J168)),NETWORKDAYS(B168,J168,$Y$6:$Y$40)-1,"")</f>
        <v/>
      </c>
      <c r="L168" s="8" t="str">
        <f aca="false">IF(B168="","",IF(H168="Y",$B$8,$B$7))</f>
        <v/>
      </c>
      <c r="M168" s="8" t="str">
        <f aca="false">IF(K168="","",IF(K168&lt;=L168,"Yes","No"))</f>
        <v/>
      </c>
      <c r="N168" s="13"/>
      <c r="O168" s="13"/>
      <c r="P168" s="13"/>
      <c r="Q168" s="13"/>
      <c r="R168" s="14"/>
      <c r="S168" s="14"/>
      <c r="T168" s="8" t="str">
        <f aca="false">IF(AND(ISNUMBER(R168),ISNUMBER(S168)),NETWORKDAYS(R168,S168,$Y$6:$Y$40)-1,"")</f>
        <v/>
      </c>
      <c r="U168" s="8" t="str">
        <f aca="false">IF(T168="","",IF(T168&lt;=$B$10,"Yes","No"))</f>
        <v/>
      </c>
      <c r="V168" s="13"/>
    </row>
    <row r="169" customFormat="false" ht="15" hidden="false" customHeight="false" outlineLevel="0" collapsed="false">
      <c r="A169" s="13"/>
      <c r="B169" s="14"/>
      <c r="C169" s="13"/>
      <c r="D169" s="13"/>
      <c r="E169" s="13"/>
      <c r="F169" s="13"/>
      <c r="G169" s="13"/>
      <c r="H169" s="13"/>
      <c r="I169" s="14"/>
      <c r="J169" s="14"/>
      <c r="K169" s="8" t="str">
        <f aca="false">IF(AND(ISNUMBER(B169),ISNUMBER(J169)),NETWORKDAYS(B169,J169,$Y$6:$Y$40)-1,"")</f>
        <v/>
      </c>
      <c r="L169" s="8" t="str">
        <f aca="false">IF(B169="","",IF(H169="Y",$B$8,$B$7))</f>
        <v/>
      </c>
      <c r="M169" s="8" t="str">
        <f aca="false">IF(K169="","",IF(K169&lt;=L169,"Yes","No"))</f>
        <v/>
      </c>
      <c r="N169" s="13"/>
      <c r="O169" s="13"/>
      <c r="P169" s="13"/>
      <c r="Q169" s="13"/>
      <c r="R169" s="14"/>
      <c r="S169" s="14"/>
      <c r="T169" s="8" t="str">
        <f aca="false">IF(AND(ISNUMBER(R169),ISNUMBER(S169)),NETWORKDAYS(R169,S169,$Y$6:$Y$40)-1,"")</f>
        <v/>
      </c>
      <c r="U169" s="8" t="str">
        <f aca="false">IF(T169="","",IF(T169&lt;=$B$10,"Yes","No"))</f>
        <v/>
      </c>
      <c r="V169" s="13"/>
    </row>
    <row r="170" customFormat="false" ht="15" hidden="false" customHeight="false" outlineLevel="0" collapsed="false">
      <c r="A170" s="13"/>
      <c r="B170" s="14"/>
      <c r="C170" s="13"/>
      <c r="D170" s="13"/>
      <c r="E170" s="13"/>
      <c r="F170" s="13"/>
      <c r="G170" s="13"/>
      <c r="H170" s="13"/>
      <c r="I170" s="14"/>
      <c r="J170" s="14"/>
      <c r="K170" s="8" t="str">
        <f aca="false">IF(AND(ISNUMBER(B170),ISNUMBER(J170)),NETWORKDAYS(B170,J170,$Y$6:$Y$40)-1,"")</f>
        <v/>
      </c>
      <c r="L170" s="8" t="str">
        <f aca="false">IF(B170="","",IF(H170="Y",$B$8,$B$7))</f>
        <v/>
      </c>
      <c r="M170" s="8" t="str">
        <f aca="false">IF(K170="","",IF(K170&lt;=L170,"Yes","No"))</f>
        <v/>
      </c>
      <c r="N170" s="13"/>
      <c r="O170" s="13"/>
      <c r="P170" s="13"/>
      <c r="Q170" s="13"/>
      <c r="R170" s="14"/>
      <c r="S170" s="14"/>
      <c r="T170" s="8" t="str">
        <f aca="false">IF(AND(ISNUMBER(R170),ISNUMBER(S170)),NETWORKDAYS(R170,S170,$Y$6:$Y$40)-1,"")</f>
        <v/>
      </c>
      <c r="U170" s="8" t="str">
        <f aca="false">IF(T170="","",IF(T170&lt;=$B$10,"Yes","No"))</f>
        <v/>
      </c>
      <c r="V170" s="13"/>
    </row>
    <row r="171" customFormat="false" ht="15" hidden="false" customHeight="false" outlineLevel="0" collapsed="false">
      <c r="A171" s="13"/>
      <c r="B171" s="14"/>
      <c r="C171" s="13"/>
      <c r="D171" s="13"/>
      <c r="E171" s="13"/>
      <c r="F171" s="13"/>
      <c r="G171" s="13"/>
      <c r="H171" s="13"/>
      <c r="I171" s="14"/>
      <c r="J171" s="14"/>
      <c r="K171" s="8" t="str">
        <f aca="false">IF(AND(ISNUMBER(B171),ISNUMBER(J171)),NETWORKDAYS(B171,J171,$Y$6:$Y$40)-1,"")</f>
        <v/>
      </c>
      <c r="L171" s="8" t="str">
        <f aca="false">IF(B171="","",IF(H171="Y",$B$8,$B$7))</f>
        <v/>
      </c>
      <c r="M171" s="8" t="str">
        <f aca="false">IF(K171="","",IF(K171&lt;=L171,"Yes","No"))</f>
        <v/>
      </c>
      <c r="N171" s="13"/>
      <c r="O171" s="13"/>
      <c r="P171" s="13"/>
      <c r="Q171" s="13"/>
      <c r="R171" s="14"/>
      <c r="S171" s="14"/>
      <c r="T171" s="8" t="str">
        <f aca="false">IF(AND(ISNUMBER(R171),ISNUMBER(S171)),NETWORKDAYS(R171,S171,$Y$6:$Y$40)-1,"")</f>
        <v/>
      </c>
      <c r="U171" s="8" t="str">
        <f aca="false">IF(T171="","",IF(T171&lt;=$B$10,"Yes","No"))</f>
        <v/>
      </c>
      <c r="V171" s="13"/>
    </row>
    <row r="172" customFormat="false" ht="15" hidden="false" customHeight="false" outlineLevel="0" collapsed="false">
      <c r="A172" s="13"/>
      <c r="B172" s="14"/>
      <c r="C172" s="13"/>
      <c r="D172" s="13"/>
      <c r="E172" s="13"/>
      <c r="F172" s="13"/>
      <c r="G172" s="13"/>
      <c r="H172" s="13"/>
      <c r="I172" s="14"/>
      <c r="J172" s="14"/>
      <c r="K172" s="8" t="str">
        <f aca="false">IF(AND(ISNUMBER(B172),ISNUMBER(J172)),NETWORKDAYS(B172,J172,$Y$6:$Y$40)-1,"")</f>
        <v/>
      </c>
      <c r="L172" s="8" t="str">
        <f aca="false">IF(B172="","",IF(H172="Y",$B$8,$B$7))</f>
        <v/>
      </c>
      <c r="M172" s="8" t="str">
        <f aca="false">IF(K172="","",IF(K172&lt;=L172,"Yes","No"))</f>
        <v/>
      </c>
      <c r="N172" s="13"/>
      <c r="O172" s="13"/>
      <c r="P172" s="13"/>
      <c r="Q172" s="13"/>
      <c r="R172" s="14"/>
      <c r="S172" s="14"/>
      <c r="T172" s="8" t="str">
        <f aca="false">IF(AND(ISNUMBER(R172),ISNUMBER(S172)),NETWORKDAYS(R172,S172,$Y$6:$Y$40)-1,"")</f>
        <v/>
      </c>
      <c r="U172" s="8" t="str">
        <f aca="false">IF(T172="","",IF(T172&lt;=$B$10,"Yes","No"))</f>
        <v/>
      </c>
      <c r="V172" s="13"/>
    </row>
    <row r="173" customFormat="false" ht="15" hidden="false" customHeight="false" outlineLevel="0" collapsed="false">
      <c r="A173" s="13"/>
      <c r="B173" s="14"/>
      <c r="C173" s="13"/>
      <c r="D173" s="13"/>
      <c r="E173" s="13"/>
      <c r="F173" s="13"/>
      <c r="G173" s="13"/>
      <c r="H173" s="13"/>
      <c r="I173" s="14"/>
      <c r="J173" s="14"/>
      <c r="K173" s="8" t="str">
        <f aca="false">IF(AND(ISNUMBER(B173),ISNUMBER(J173)),NETWORKDAYS(B173,J173,$Y$6:$Y$40)-1,"")</f>
        <v/>
      </c>
      <c r="L173" s="8" t="str">
        <f aca="false">IF(B173="","",IF(H173="Y",$B$8,$B$7))</f>
        <v/>
      </c>
      <c r="M173" s="8" t="str">
        <f aca="false">IF(K173="","",IF(K173&lt;=L173,"Yes","No"))</f>
        <v/>
      </c>
      <c r="N173" s="13"/>
      <c r="O173" s="13"/>
      <c r="P173" s="13"/>
      <c r="Q173" s="13"/>
      <c r="R173" s="14"/>
      <c r="S173" s="14"/>
      <c r="T173" s="8" t="str">
        <f aca="false">IF(AND(ISNUMBER(R173),ISNUMBER(S173)),NETWORKDAYS(R173,S173,$Y$6:$Y$40)-1,"")</f>
        <v/>
      </c>
      <c r="U173" s="8" t="str">
        <f aca="false">IF(T173="","",IF(T173&lt;=$B$10,"Yes","No"))</f>
        <v/>
      </c>
      <c r="V173" s="13"/>
    </row>
    <row r="174" customFormat="false" ht="15" hidden="false" customHeight="false" outlineLevel="0" collapsed="false">
      <c r="A174" s="13"/>
      <c r="B174" s="14"/>
      <c r="C174" s="13"/>
      <c r="D174" s="13"/>
      <c r="E174" s="13"/>
      <c r="F174" s="13"/>
      <c r="G174" s="13"/>
      <c r="H174" s="13"/>
      <c r="I174" s="14"/>
      <c r="J174" s="14"/>
      <c r="K174" s="8" t="str">
        <f aca="false">IF(AND(ISNUMBER(B174),ISNUMBER(J174)),NETWORKDAYS(B174,J174,$Y$6:$Y$40)-1,"")</f>
        <v/>
      </c>
      <c r="L174" s="8" t="str">
        <f aca="false">IF(B174="","",IF(H174="Y",$B$8,$B$7))</f>
        <v/>
      </c>
      <c r="M174" s="8" t="str">
        <f aca="false">IF(K174="","",IF(K174&lt;=L174,"Yes","No"))</f>
        <v/>
      </c>
      <c r="N174" s="13"/>
      <c r="O174" s="13"/>
      <c r="P174" s="13"/>
      <c r="Q174" s="13"/>
      <c r="R174" s="14"/>
      <c r="S174" s="14"/>
      <c r="T174" s="8" t="str">
        <f aca="false">IF(AND(ISNUMBER(R174),ISNUMBER(S174)),NETWORKDAYS(R174,S174,$Y$6:$Y$40)-1,"")</f>
        <v/>
      </c>
      <c r="U174" s="8" t="str">
        <f aca="false">IF(T174="","",IF(T174&lt;=$B$10,"Yes","No"))</f>
        <v/>
      </c>
      <c r="V174" s="13"/>
    </row>
    <row r="175" customFormat="false" ht="15" hidden="false" customHeight="false" outlineLevel="0" collapsed="false">
      <c r="A175" s="13"/>
      <c r="B175" s="14"/>
      <c r="C175" s="13"/>
      <c r="D175" s="13"/>
      <c r="E175" s="13"/>
      <c r="F175" s="13"/>
      <c r="G175" s="13"/>
      <c r="H175" s="13"/>
      <c r="I175" s="14"/>
      <c r="J175" s="14"/>
      <c r="K175" s="8" t="str">
        <f aca="false">IF(AND(ISNUMBER(B175),ISNUMBER(J175)),NETWORKDAYS(B175,J175,$Y$6:$Y$40)-1,"")</f>
        <v/>
      </c>
      <c r="L175" s="8" t="str">
        <f aca="false">IF(B175="","",IF(H175="Y",$B$8,$B$7))</f>
        <v/>
      </c>
      <c r="M175" s="8" t="str">
        <f aca="false">IF(K175="","",IF(K175&lt;=L175,"Yes","No"))</f>
        <v/>
      </c>
      <c r="N175" s="13"/>
      <c r="O175" s="13"/>
      <c r="P175" s="13"/>
      <c r="Q175" s="13"/>
      <c r="R175" s="14"/>
      <c r="S175" s="14"/>
      <c r="T175" s="8" t="str">
        <f aca="false">IF(AND(ISNUMBER(R175),ISNUMBER(S175)),NETWORKDAYS(R175,S175,$Y$6:$Y$40)-1,"")</f>
        <v/>
      </c>
      <c r="U175" s="8" t="str">
        <f aca="false">IF(T175="","",IF(T175&lt;=$B$10,"Yes","No"))</f>
        <v/>
      </c>
      <c r="V175" s="13"/>
    </row>
    <row r="176" customFormat="false" ht="15" hidden="false" customHeight="false" outlineLevel="0" collapsed="false">
      <c r="A176" s="13"/>
      <c r="B176" s="14"/>
      <c r="C176" s="13"/>
      <c r="D176" s="13"/>
      <c r="E176" s="13"/>
      <c r="F176" s="13"/>
      <c r="G176" s="13"/>
      <c r="H176" s="13"/>
      <c r="I176" s="14"/>
      <c r="J176" s="14"/>
      <c r="K176" s="8" t="str">
        <f aca="false">IF(AND(ISNUMBER(B176),ISNUMBER(J176)),NETWORKDAYS(B176,J176,$Y$6:$Y$40)-1,"")</f>
        <v/>
      </c>
      <c r="L176" s="8" t="str">
        <f aca="false">IF(B176="","",IF(H176="Y",$B$8,$B$7))</f>
        <v/>
      </c>
      <c r="M176" s="8" t="str">
        <f aca="false">IF(K176="","",IF(K176&lt;=L176,"Yes","No"))</f>
        <v/>
      </c>
      <c r="N176" s="13"/>
      <c r="O176" s="13"/>
      <c r="P176" s="13"/>
      <c r="Q176" s="13"/>
      <c r="R176" s="14"/>
      <c r="S176" s="14"/>
      <c r="T176" s="8" t="str">
        <f aca="false">IF(AND(ISNUMBER(R176),ISNUMBER(S176)),NETWORKDAYS(R176,S176,$Y$6:$Y$40)-1,"")</f>
        <v/>
      </c>
      <c r="U176" s="8" t="str">
        <f aca="false">IF(T176="","",IF(T176&lt;=$B$10,"Yes","No"))</f>
        <v/>
      </c>
      <c r="V176" s="13"/>
    </row>
    <row r="177" customFormat="false" ht="15" hidden="false" customHeight="false" outlineLevel="0" collapsed="false">
      <c r="A177" s="13"/>
      <c r="B177" s="14"/>
      <c r="C177" s="13"/>
      <c r="D177" s="13"/>
      <c r="E177" s="13"/>
      <c r="F177" s="13"/>
      <c r="G177" s="13"/>
      <c r="H177" s="13"/>
      <c r="I177" s="14"/>
      <c r="J177" s="14"/>
      <c r="K177" s="8" t="str">
        <f aca="false">IF(AND(ISNUMBER(B177),ISNUMBER(J177)),NETWORKDAYS(B177,J177,$Y$6:$Y$40)-1,"")</f>
        <v/>
      </c>
      <c r="L177" s="8" t="str">
        <f aca="false">IF(B177="","",IF(H177="Y",$B$8,$B$7))</f>
        <v/>
      </c>
      <c r="M177" s="8" t="str">
        <f aca="false">IF(K177="","",IF(K177&lt;=L177,"Yes","No"))</f>
        <v/>
      </c>
      <c r="N177" s="13"/>
      <c r="O177" s="13"/>
      <c r="P177" s="13"/>
      <c r="Q177" s="13"/>
      <c r="R177" s="14"/>
      <c r="S177" s="14"/>
      <c r="T177" s="8" t="str">
        <f aca="false">IF(AND(ISNUMBER(R177),ISNUMBER(S177)),NETWORKDAYS(R177,S177,$Y$6:$Y$40)-1,"")</f>
        <v/>
      </c>
      <c r="U177" s="8" t="str">
        <f aca="false">IF(T177="","",IF(T177&lt;=$B$10,"Yes","No"))</f>
        <v/>
      </c>
      <c r="V177" s="13"/>
    </row>
    <row r="178" customFormat="false" ht="15" hidden="false" customHeight="false" outlineLevel="0" collapsed="false">
      <c r="A178" s="13"/>
      <c r="B178" s="14"/>
      <c r="C178" s="13"/>
      <c r="D178" s="13"/>
      <c r="E178" s="13"/>
      <c r="F178" s="13"/>
      <c r="G178" s="13"/>
      <c r="H178" s="13"/>
      <c r="I178" s="14"/>
      <c r="J178" s="14"/>
      <c r="K178" s="8" t="str">
        <f aca="false">IF(AND(ISNUMBER(B178),ISNUMBER(J178)),NETWORKDAYS(B178,J178,$Y$6:$Y$40)-1,"")</f>
        <v/>
      </c>
      <c r="L178" s="8" t="str">
        <f aca="false">IF(B178="","",IF(H178="Y",$B$8,$B$7))</f>
        <v/>
      </c>
      <c r="M178" s="8" t="str">
        <f aca="false">IF(K178="","",IF(K178&lt;=L178,"Yes","No"))</f>
        <v/>
      </c>
      <c r="N178" s="13"/>
      <c r="O178" s="13"/>
      <c r="P178" s="13"/>
      <c r="Q178" s="13"/>
      <c r="R178" s="14"/>
      <c r="S178" s="14"/>
      <c r="T178" s="8" t="str">
        <f aca="false">IF(AND(ISNUMBER(R178),ISNUMBER(S178)),NETWORKDAYS(R178,S178,$Y$6:$Y$40)-1,"")</f>
        <v/>
      </c>
      <c r="U178" s="8" t="str">
        <f aca="false">IF(T178="","",IF(T178&lt;=$B$10,"Yes","No"))</f>
        <v/>
      </c>
      <c r="V178" s="13"/>
    </row>
    <row r="179" customFormat="false" ht="15" hidden="false" customHeight="false" outlineLevel="0" collapsed="false">
      <c r="A179" s="13"/>
      <c r="B179" s="14"/>
      <c r="C179" s="13"/>
      <c r="D179" s="13"/>
      <c r="E179" s="13"/>
      <c r="F179" s="13"/>
      <c r="G179" s="13"/>
      <c r="H179" s="13"/>
      <c r="I179" s="14"/>
      <c r="J179" s="14"/>
      <c r="K179" s="8" t="str">
        <f aca="false">IF(AND(ISNUMBER(B179),ISNUMBER(J179)),NETWORKDAYS(B179,J179,$Y$6:$Y$40)-1,"")</f>
        <v/>
      </c>
      <c r="L179" s="8" t="str">
        <f aca="false">IF(B179="","",IF(H179="Y",$B$8,$B$7))</f>
        <v/>
      </c>
      <c r="M179" s="8" t="str">
        <f aca="false">IF(K179="","",IF(K179&lt;=L179,"Yes","No"))</f>
        <v/>
      </c>
      <c r="N179" s="13"/>
      <c r="O179" s="13"/>
      <c r="P179" s="13"/>
      <c r="Q179" s="13"/>
      <c r="R179" s="14"/>
      <c r="S179" s="14"/>
      <c r="T179" s="8" t="str">
        <f aca="false">IF(AND(ISNUMBER(R179),ISNUMBER(S179)),NETWORKDAYS(R179,S179,$Y$6:$Y$40)-1,"")</f>
        <v/>
      </c>
      <c r="U179" s="8" t="str">
        <f aca="false">IF(T179="","",IF(T179&lt;=$B$10,"Yes","No"))</f>
        <v/>
      </c>
      <c r="V179" s="13"/>
    </row>
    <row r="180" customFormat="false" ht="15" hidden="false" customHeight="false" outlineLevel="0" collapsed="false">
      <c r="A180" s="13"/>
      <c r="B180" s="14"/>
      <c r="C180" s="13"/>
      <c r="D180" s="13"/>
      <c r="E180" s="13"/>
      <c r="F180" s="13"/>
      <c r="G180" s="13"/>
      <c r="H180" s="13"/>
      <c r="I180" s="14"/>
      <c r="J180" s="14"/>
      <c r="K180" s="8" t="str">
        <f aca="false">IF(AND(ISNUMBER(B180),ISNUMBER(J180)),NETWORKDAYS(B180,J180,$Y$6:$Y$40)-1,"")</f>
        <v/>
      </c>
      <c r="L180" s="8" t="str">
        <f aca="false">IF(B180="","",IF(H180="Y",$B$8,$B$7))</f>
        <v/>
      </c>
      <c r="M180" s="8" t="str">
        <f aca="false">IF(K180="","",IF(K180&lt;=L180,"Yes","No"))</f>
        <v/>
      </c>
      <c r="N180" s="13"/>
      <c r="O180" s="13"/>
      <c r="P180" s="13"/>
      <c r="Q180" s="13"/>
      <c r="R180" s="14"/>
      <c r="S180" s="14"/>
      <c r="T180" s="8" t="str">
        <f aca="false">IF(AND(ISNUMBER(R180),ISNUMBER(S180)),NETWORKDAYS(R180,S180,$Y$6:$Y$40)-1,"")</f>
        <v/>
      </c>
      <c r="U180" s="8" t="str">
        <f aca="false">IF(T180="","",IF(T180&lt;=$B$10,"Yes","No"))</f>
        <v/>
      </c>
      <c r="V180" s="13"/>
    </row>
    <row r="181" customFormat="false" ht="15" hidden="false" customHeight="false" outlineLevel="0" collapsed="false">
      <c r="A181" s="13"/>
      <c r="B181" s="14"/>
      <c r="C181" s="13"/>
      <c r="D181" s="13"/>
      <c r="E181" s="13"/>
      <c r="F181" s="13"/>
      <c r="G181" s="13"/>
      <c r="H181" s="13"/>
      <c r="I181" s="14"/>
      <c r="J181" s="14"/>
      <c r="K181" s="8" t="str">
        <f aca="false">IF(AND(ISNUMBER(B181),ISNUMBER(J181)),NETWORKDAYS(B181,J181,$Y$6:$Y$40)-1,"")</f>
        <v/>
      </c>
      <c r="L181" s="8" t="str">
        <f aca="false">IF(B181="","",IF(H181="Y",$B$8,$B$7))</f>
        <v/>
      </c>
      <c r="M181" s="8" t="str">
        <f aca="false">IF(K181="","",IF(K181&lt;=L181,"Yes","No"))</f>
        <v/>
      </c>
      <c r="N181" s="13"/>
      <c r="O181" s="13"/>
      <c r="P181" s="13"/>
      <c r="Q181" s="13"/>
      <c r="R181" s="14"/>
      <c r="S181" s="14"/>
      <c r="T181" s="8" t="str">
        <f aca="false">IF(AND(ISNUMBER(R181),ISNUMBER(S181)),NETWORKDAYS(R181,S181,$Y$6:$Y$40)-1,"")</f>
        <v/>
      </c>
      <c r="U181" s="8" t="str">
        <f aca="false">IF(T181="","",IF(T181&lt;=$B$10,"Yes","No"))</f>
        <v/>
      </c>
      <c r="V181" s="13"/>
    </row>
    <row r="182" customFormat="false" ht="15" hidden="false" customHeight="false" outlineLevel="0" collapsed="false">
      <c r="A182" s="13"/>
      <c r="B182" s="14"/>
      <c r="C182" s="13"/>
      <c r="D182" s="13"/>
      <c r="E182" s="13"/>
      <c r="F182" s="13"/>
      <c r="G182" s="13"/>
      <c r="H182" s="13"/>
      <c r="I182" s="14"/>
      <c r="J182" s="14"/>
      <c r="K182" s="8" t="str">
        <f aca="false">IF(AND(ISNUMBER(B182),ISNUMBER(J182)),NETWORKDAYS(B182,J182,$Y$6:$Y$40)-1,"")</f>
        <v/>
      </c>
      <c r="L182" s="8" t="str">
        <f aca="false">IF(B182="","",IF(H182="Y",$B$8,$B$7))</f>
        <v/>
      </c>
      <c r="M182" s="8" t="str">
        <f aca="false">IF(K182="","",IF(K182&lt;=L182,"Yes","No"))</f>
        <v/>
      </c>
      <c r="N182" s="13"/>
      <c r="O182" s="13"/>
      <c r="P182" s="13"/>
      <c r="Q182" s="13"/>
      <c r="R182" s="14"/>
      <c r="S182" s="14"/>
      <c r="T182" s="8" t="str">
        <f aca="false">IF(AND(ISNUMBER(R182),ISNUMBER(S182)),NETWORKDAYS(R182,S182,$Y$6:$Y$40)-1,"")</f>
        <v/>
      </c>
      <c r="U182" s="8" t="str">
        <f aca="false">IF(T182="","",IF(T182&lt;=$B$10,"Yes","No"))</f>
        <v/>
      </c>
      <c r="V182" s="13"/>
    </row>
    <row r="183" customFormat="false" ht="15" hidden="false" customHeight="false" outlineLevel="0" collapsed="false">
      <c r="A183" s="13"/>
      <c r="B183" s="14"/>
      <c r="C183" s="13"/>
      <c r="D183" s="13"/>
      <c r="E183" s="13"/>
      <c r="F183" s="13"/>
      <c r="G183" s="13"/>
      <c r="H183" s="13"/>
      <c r="I183" s="14"/>
      <c r="J183" s="14"/>
      <c r="K183" s="8" t="str">
        <f aca="false">IF(AND(ISNUMBER(B183),ISNUMBER(J183)),NETWORKDAYS(B183,J183,$Y$6:$Y$40)-1,"")</f>
        <v/>
      </c>
      <c r="L183" s="8" t="str">
        <f aca="false">IF(B183="","",IF(H183="Y",$B$8,$B$7))</f>
        <v/>
      </c>
      <c r="M183" s="8" t="str">
        <f aca="false">IF(K183="","",IF(K183&lt;=L183,"Yes","No"))</f>
        <v/>
      </c>
      <c r="N183" s="13"/>
      <c r="O183" s="13"/>
      <c r="P183" s="13"/>
      <c r="Q183" s="13"/>
      <c r="R183" s="14"/>
      <c r="S183" s="14"/>
      <c r="T183" s="8" t="str">
        <f aca="false">IF(AND(ISNUMBER(R183),ISNUMBER(S183)),NETWORKDAYS(R183,S183,$Y$6:$Y$40)-1,"")</f>
        <v/>
      </c>
      <c r="U183" s="8" t="str">
        <f aca="false">IF(T183="","",IF(T183&lt;=$B$10,"Yes","No"))</f>
        <v/>
      </c>
      <c r="V183" s="13"/>
    </row>
    <row r="184" customFormat="false" ht="15" hidden="false" customHeight="false" outlineLevel="0" collapsed="false">
      <c r="A184" s="13"/>
      <c r="B184" s="14"/>
      <c r="C184" s="13"/>
      <c r="D184" s="13"/>
      <c r="E184" s="13"/>
      <c r="F184" s="13"/>
      <c r="G184" s="13"/>
      <c r="H184" s="13"/>
      <c r="I184" s="14"/>
      <c r="J184" s="14"/>
      <c r="K184" s="8" t="str">
        <f aca="false">IF(AND(ISNUMBER(B184),ISNUMBER(J184)),NETWORKDAYS(B184,J184,$Y$6:$Y$40)-1,"")</f>
        <v/>
      </c>
      <c r="L184" s="8" t="str">
        <f aca="false">IF(B184="","",IF(H184="Y",$B$8,$B$7))</f>
        <v/>
      </c>
      <c r="M184" s="8" t="str">
        <f aca="false">IF(K184="","",IF(K184&lt;=L184,"Yes","No"))</f>
        <v/>
      </c>
      <c r="N184" s="13"/>
      <c r="O184" s="13"/>
      <c r="P184" s="13"/>
      <c r="Q184" s="13"/>
      <c r="R184" s="14"/>
      <c r="S184" s="14"/>
      <c r="T184" s="8" t="str">
        <f aca="false">IF(AND(ISNUMBER(R184),ISNUMBER(S184)),NETWORKDAYS(R184,S184,$Y$6:$Y$40)-1,"")</f>
        <v/>
      </c>
      <c r="U184" s="8" t="str">
        <f aca="false">IF(T184="","",IF(T184&lt;=$B$10,"Yes","No"))</f>
        <v/>
      </c>
      <c r="V184" s="13"/>
    </row>
    <row r="185" customFormat="false" ht="15" hidden="false" customHeight="false" outlineLevel="0" collapsed="false">
      <c r="A185" s="13"/>
      <c r="B185" s="14"/>
      <c r="C185" s="13"/>
      <c r="D185" s="13"/>
      <c r="E185" s="13"/>
      <c r="F185" s="13"/>
      <c r="G185" s="13"/>
      <c r="H185" s="13"/>
      <c r="I185" s="14"/>
      <c r="J185" s="14"/>
      <c r="K185" s="8" t="str">
        <f aca="false">IF(AND(ISNUMBER(B185),ISNUMBER(J185)),NETWORKDAYS(B185,J185,$Y$6:$Y$40)-1,"")</f>
        <v/>
      </c>
      <c r="L185" s="8" t="str">
        <f aca="false">IF(B185="","",IF(H185="Y",$B$8,$B$7))</f>
        <v/>
      </c>
      <c r="M185" s="8" t="str">
        <f aca="false">IF(K185="","",IF(K185&lt;=L185,"Yes","No"))</f>
        <v/>
      </c>
      <c r="N185" s="13"/>
      <c r="O185" s="13"/>
      <c r="P185" s="13"/>
      <c r="Q185" s="13"/>
      <c r="R185" s="14"/>
      <c r="S185" s="14"/>
      <c r="T185" s="8" t="str">
        <f aca="false">IF(AND(ISNUMBER(R185),ISNUMBER(S185)),NETWORKDAYS(R185,S185,$Y$6:$Y$40)-1,"")</f>
        <v/>
      </c>
      <c r="U185" s="8" t="str">
        <f aca="false">IF(T185="","",IF(T185&lt;=$B$10,"Yes","No"))</f>
        <v/>
      </c>
      <c r="V185" s="13"/>
    </row>
    <row r="186" customFormat="false" ht="15" hidden="false" customHeight="false" outlineLevel="0" collapsed="false">
      <c r="A186" s="13"/>
      <c r="B186" s="14"/>
      <c r="C186" s="13"/>
      <c r="D186" s="13"/>
      <c r="E186" s="13"/>
      <c r="F186" s="13"/>
      <c r="G186" s="13"/>
      <c r="H186" s="13"/>
      <c r="I186" s="14"/>
      <c r="J186" s="14"/>
      <c r="K186" s="8" t="str">
        <f aca="false">IF(AND(ISNUMBER(B186),ISNUMBER(J186)),NETWORKDAYS(B186,J186,$Y$6:$Y$40)-1,"")</f>
        <v/>
      </c>
      <c r="L186" s="8" t="str">
        <f aca="false">IF(B186="","",IF(H186="Y",$B$8,$B$7))</f>
        <v/>
      </c>
      <c r="M186" s="8" t="str">
        <f aca="false">IF(K186="","",IF(K186&lt;=L186,"Yes","No"))</f>
        <v/>
      </c>
      <c r="N186" s="13"/>
      <c r="O186" s="13"/>
      <c r="P186" s="13"/>
      <c r="Q186" s="13"/>
      <c r="R186" s="14"/>
      <c r="S186" s="14"/>
      <c r="T186" s="8" t="str">
        <f aca="false">IF(AND(ISNUMBER(R186),ISNUMBER(S186)),NETWORKDAYS(R186,S186,$Y$6:$Y$40)-1,"")</f>
        <v/>
      </c>
      <c r="U186" s="8" t="str">
        <f aca="false">IF(T186="","",IF(T186&lt;=$B$10,"Yes","No"))</f>
        <v/>
      </c>
      <c r="V186" s="13"/>
    </row>
    <row r="187" customFormat="false" ht="15" hidden="false" customHeight="false" outlineLevel="0" collapsed="false">
      <c r="A187" s="13"/>
      <c r="B187" s="14"/>
      <c r="C187" s="13"/>
      <c r="D187" s="13"/>
      <c r="E187" s="13"/>
      <c r="F187" s="13"/>
      <c r="G187" s="13"/>
      <c r="H187" s="13"/>
      <c r="I187" s="14"/>
      <c r="J187" s="14"/>
      <c r="K187" s="8" t="str">
        <f aca="false">IF(AND(ISNUMBER(B187),ISNUMBER(J187)),NETWORKDAYS(B187,J187,$Y$6:$Y$40)-1,"")</f>
        <v/>
      </c>
      <c r="L187" s="8" t="str">
        <f aca="false">IF(B187="","",IF(H187="Y",$B$8,$B$7))</f>
        <v/>
      </c>
      <c r="M187" s="8" t="str">
        <f aca="false">IF(K187="","",IF(K187&lt;=L187,"Yes","No"))</f>
        <v/>
      </c>
      <c r="N187" s="13"/>
      <c r="O187" s="13"/>
      <c r="P187" s="13"/>
      <c r="Q187" s="13"/>
      <c r="R187" s="14"/>
      <c r="S187" s="14"/>
      <c r="T187" s="8" t="str">
        <f aca="false">IF(AND(ISNUMBER(R187),ISNUMBER(S187)),NETWORKDAYS(R187,S187,$Y$6:$Y$40)-1,"")</f>
        <v/>
      </c>
      <c r="U187" s="8" t="str">
        <f aca="false">IF(T187="","",IF(T187&lt;=$B$10,"Yes","No"))</f>
        <v/>
      </c>
      <c r="V187" s="13"/>
    </row>
    <row r="188" customFormat="false" ht="15" hidden="false" customHeight="false" outlineLevel="0" collapsed="false">
      <c r="A188" s="13"/>
      <c r="B188" s="14"/>
      <c r="C188" s="13"/>
      <c r="D188" s="13"/>
      <c r="E188" s="13"/>
      <c r="F188" s="13"/>
      <c r="G188" s="13"/>
      <c r="H188" s="13"/>
      <c r="I188" s="14"/>
      <c r="J188" s="14"/>
      <c r="K188" s="8" t="str">
        <f aca="false">IF(AND(ISNUMBER(B188),ISNUMBER(J188)),NETWORKDAYS(B188,J188,$Y$6:$Y$40)-1,"")</f>
        <v/>
      </c>
      <c r="L188" s="8" t="str">
        <f aca="false">IF(B188="","",IF(H188="Y",$B$8,$B$7))</f>
        <v/>
      </c>
      <c r="M188" s="8" t="str">
        <f aca="false">IF(K188="","",IF(K188&lt;=L188,"Yes","No"))</f>
        <v/>
      </c>
      <c r="N188" s="13"/>
      <c r="O188" s="13"/>
      <c r="P188" s="13"/>
      <c r="Q188" s="13"/>
      <c r="R188" s="14"/>
      <c r="S188" s="14"/>
      <c r="T188" s="8" t="str">
        <f aca="false">IF(AND(ISNUMBER(R188),ISNUMBER(S188)),NETWORKDAYS(R188,S188,$Y$6:$Y$40)-1,"")</f>
        <v/>
      </c>
      <c r="U188" s="8" t="str">
        <f aca="false">IF(T188="","",IF(T188&lt;=$B$10,"Yes","No"))</f>
        <v/>
      </c>
      <c r="V188" s="13"/>
    </row>
    <row r="189" customFormat="false" ht="15" hidden="false" customHeight="false" outlineLevel="0" collapsed="false">
      <c r="A189" s="13"/>
      <c r="B189" s="14"/>
      <c r="C189" s="13"/>
      <c r="D189" s="13"/>
      <c r="E189" s="13"/>
      <c r="F189" s="13"/>
      <c r="G189" s="13"/>
      <c r="H189" s="13"/>
      <c r="I189" s="14"/>
      <c r="J189" s="14"/>
      <c r="K189" s="8" t="str">
        <f aca="false">IF(AND(ISNUMBER(B189),ISNUMBER(J189)),NETWORKDAYS(B189,J189,$Y$6:$Y$40)-1,"")</f>
        <v/>
      </c>
      <c r="L189" s="8" t="str">
        <f aca="false">IF(B189="","",IF(H189="Y",$B$8,$B$7))</f>
        <v/>
      </c>
      <c r="M189" s="8" t="str">
        <f aca="false">IF(K189="","",IF(K189&lt;=L189,"Yes","No"))</f>
        <v/>
      </c>
      <c r="N189" s="13"/>
      <c r="O189" s="13"/>
      <c r="P189" s="13"/>
      <c r="Q189" s="13"/>
      <c r="R189" s="14"/>
      <c r="S189" s="14"/>
      <c r="T189" s="8" t="str">
        <f aca="false">IF(AND(ISNUMBER(R189),ISNUMBER(S189)),NETWORKDAYS(R189,S189,$Y$6:$Y$40)-1,"")</f>
        <v/>
      </c>
      <c r="U189" s="8" t="str">
        <f aca="false">IF(T189="","",IF(T189&lt;=$B$10,"Yes","No"))</f>
        <v/>
      </c>
      <c r="V189" s="13"/>
    </row>
    <row r="190" customFormat="false" ht="15" hidden="false" customHeight="false" outlineLevel="0" collapsed="false">
      <c r="A190" s="13"/>
      <c r="B190" s="14"/>
      <c r="C190" s="13"/>
      <c r="D190" s="13"/>
      <c r="E190" s="13"/>
      <c r="F190" s="13"/>
      <c r="G190" s="13"/>
      <c r="H190" s="13"/>
      <c r="I190" s="14"/>
      <c r="J190" s="14"/>
      <c r="K190" s="8" t="str">
        <f aca="false">IF(AND(ISNUMBER(B190),ISNUMBER(J190)),NETWORKDAYS(B190,J190,$Y$6:$Y$40)-1,"")</f>
        <v/>
      </c>
      <c r="L190" s="8" t="str">
        <f aca="false">IF(B190="","",IF(H190="Y",$B$8,$B$7))</f>
        <v/>
      </c>
      <c r="M190" s="8" t="str">
        <f aca="false">IF(K190="","",IF(K190&lt;=L190,"Yes","No"))</f>
        <v/>
      </c>
      <c r="N190" s="13"/>
      <c r="O190" s="13"/>
      <c r="P190" s="13"/>
      <c r="Q190" s="13"/>
      <c r="R190" s="14"/>
      <c r="S190" s="14"/>
      <c r="T190" s="8" t="str">
        <f aca="false">IF(AND(ISNUMBER(R190),ISNUMBER(S190)),NETWORKDAYS(R190,S190,$Y$6:$Y$40)-1,"")</f>
        <v/>
      </c>
      <c r="U190" s="8" t="str">
        <f aca="false">IF(T190="","",IF(T190&lt;=$B$10,"Yes","No"))</f>
        <v/>
      </c>
      <c r="V190" s="13"/>
    </row>
    <row r="191" customFormat="false" ht="15" hidden="false" customHeight="false" outlineLevel="0" collapsed="false">
      <c r="A191" s="13"/>
      <c r="B191" s="14"/>
      <c r="C191" s="13"/>
      <c r="D191" s="13"/>
      <c r="E191" s="13"/>
      <c r="F191" s="13"/>
      <c r="G191" s="13"/>
      <c r="H191" s="13"/>
      <c r="I191" s="14"/>
      <c r="J191" s="14"/>
      <c r="K191" s="8" t="str">
        <f aca="false">IF(AND(ISNUMBER(B191),ISNUMBER(J191)),NETWORKDAYS(B191,J191,$Y$6:$Y$40)-1,"")</f>
        <v/>
      </c>
      <c r="L191" s="8" t="str">
        <f aca="false">IF(B191="","",IF(H191="Y",$B$8,$B$7))</f>
        <v/>
      </c>
      <c r="M191" s="8" t="str">
        <f aca="false">IF(K191="","",IF(K191&lt;=L191,"Yes","No"))</f>
        <v/>
      </c>
      <c r="N191" s="13"/>
      <c r="O191" s="13"/>
      <c r="P191" s="13"/>
      <c r="Q191" s="13"/>
      <c r="R191" s="14"/>
      <c r="S191" s="14"/>
      <c r="T191" s="8" t="str">
        <f aca="false">IF(AND(ISNUMBER(R191),ISNUMBER(S191)),NETWORKDAYS(R191,S191,$Y$6:$Y$40)-1,"")</f>
        <v/>
      </c>
      <c r="U191" s="8" t="str">
        <f aca="false">IF(T191="","",IF(T191&lt;=$B$10,"Yes","No"))</f>
        <v/>
      </c>
      <c r="V191" s="13"/>
    </row>
    <row r="192" customFormat="false" ht="15" hidden="false" customHeight="false" outlineLevel="0" collapsed="false">
      <c r="A192" s="13"/>
      <c r="B192" s="14"/>
      <c r="C192" s="13"/>
      <c r="D192" s="13"/>
      <c r="E192" s="13"/>
      <c r="F192" s="13"/>
      <c r="G192" s="13"/>
      <c r="H192" s="13"/>
      <c r="I192" s="14"/>
      <c r="J192" s="14"/>
      <c r="K192" s="8" t="str">
        <f aca="false">IF(AND(ISNUMBER(B192),ISNUMBER(J192)),NETWORKDAYS(B192,J192,$Y$6:$Y$40)-1,"")</f>
        <v/>
      </c>
      <c r="L192" s="8" t="str">
        <f aca="false">IF(B192="","",IF(H192="Y",$B$8,$B$7))</f>
        <v/>
      </c>
      <c r="M192" s="8" t="str">
        <f aca="false">IF(K192="","",IF(K192&lt;=L192,"Yes","No"))</f>
        <v/>
      </c>
      <c r="N192" s="13"/>
      <c r="O192" s="13"/>
      <c r="P192" s="13"/>
      <c r="Q192" s="13"/>
      <c r="R192" s="14"/>
      <c r="S192" s="14"/>
      <c r="T192" s="8" t="str">
        <f aca="false">IF(AND(ISNUMBER(R192),ISNUMBER(S192)),NETWORKDAYS(R192,S192,$Y$6:$Y$40)-1,"")</f>
        <v/>
      </c>
      <c r="U192" s="8" t="str">
        <f aca="false">IF(T192="","",IF(T192&lt;=$B$10,"Yes","No"))</f>
        <v/>
      </c>
      <c r="V192" s="13"/>
    </row>
    <row r="193" customFormat="false" ht="15" hidden="false" customHeight="false" outlineLevel="0" collapsed="false">
      <c r="A193" s="13"/>
      <c r="B193" s="14"/>
      <c r="C193" s="13"/>
      <c r="D193" s="13"/>
      <c r="E193" s="13"/>
      <c r="F193" s="13"/>
      <c r="G193" s="13"/>
      <c r="H193" s="13"/>
      <c r="I193" s="14"/>
      <c r="J193" s="14"/>
      <c r="K193" s="8" t="str">
        <f aca="false">IF(AND(ISNUMBER(B193),ISNUMBER(J193)),NETWORKDAYS(B193,J193,$Y$6:$Y$40)-1,"")</f>
        <v/>
      </c>
      <c r="L193" s="8" t="str">
        <f aca="false">IF(B193="","",IF(H193="Y",$B$8,$B$7))</f>
        <v/>
      </c>
      <c r="M193" s="8" t="str">
        <f aca="false">IF(K193="","",IF(K193&lt;=L193,"Yes","No"))</f>
        <v/>
      </c>
      <c r="N193" s="13"/>
      <c r="O193" s="13"/>
      <c r="P193" s="13"/>
      <c r="Q193" s="13"/>
      <c r="R193" s="14"/>
      <c r="S193" s="14"/>
      <c r="T193" s="8" t="str">
        <f aca="false">IF(AND(ISNUMBER(R193),ISNUMBER(S193)),NETWORKDAYS(R193,S193,$Y$6:$Y$40)-1,"")</f>
        <v/>
      </c>
      <c r="U193" s="8" t="str">
        <f aca="false">IF(T193="","",IF(T193&lt;=$B$10,"Yes","No"))</f>
        <v/>
      </c>
      <c r="V193" s="13"/>
    </row>
    <row r="194" customFormat="false" ht="15" hidden="false" customHeight="false" outlineLevel="0" collapsed="false">
      <c r="A194" s="13"/>
      <c r="B194" s="14"/>
      <c r="C194" s="13"/>
      <c r="D194" s="13"/>
      <c r="E194" s="13"/>
      <c r="F194" s="13"/>
      <c r="G194" s="13"/>
      <c r="H194" s="13"/>
      <c r="I194" s="14"/>
      <c r="J194" s="14"/>
      <c r="K194" s="8" t="str">
        <f aca="false">IF(AND(ISNUMBER(B194),ISNUMBER(J194)),NETWORKDAYS(B194,J194,$Y$6:$Y$40)-1,"")</f>
        <v/>
      </c>
      <c r="L194" s="8" t="str">
        <f aca="false">IF(B194="","",IF(H194="Y",$B$8,$B$7))</f>
        <v/>
      </c>
      <c r="M194" s="8" t="str">
        <f aca="false">IF(K194="","",IF(K194&lt;=L194,"Yes","No"))</f>
        <v/>
      </c>
      <c r="N194" s="13"/>
      <c r="O194" s="13"/>
      <c r="P194" s="13"/>
      <c r="Q194" s="13"/>
      <c r="R194" s="14"/>
      <c r="S194" s="14"/>
      <c r="T194" s="8" t="str">
        <f aca="false">IF(AND(ISNUMBER(R194),ISNUMBER(S194)),NETWORKDAYS(R194,S194,$Y$6:$Y$40)-1,"")</f>
        <v/>
      </c>
      <c r="U194" s="8" t="str">
        <f aca="false">IF(T194="","",IF(T194&lt;=$B$10,"Yes","No"))</f>
        <v/>
      </c>
      <c r="V194" s="13"/>
    </row>
    <row r="195" customFormat="false" ht="15" hidden="false" customHeight="false" outlineLevel="0" collapsed="false">
      <c r="A195" s="13"/>
      <c r="B195" s="14"/>
      <c r="C195" s="13"/>
      <c r="D195" s="13"/>
      <c r="E195" s="13"/>
      <c r="F195" s="13"/>
      <c r="G195" s="13"/>
      <c r="H195" s="13"/>
      <c r="I195" s="14"/>
      <c r="J195" s="14"/>
      <c r="K195" s="8" t="str">
        <f aca="false">IF(AND(ISNUMBER(B195),ISNUMBER(J195)),NETWORKDAYS(B195,J195,$Y$6:$Y$40)-1,"")</f>
        <v/>
      </c>
      <c r="L195" s="8" t="str">
        <f aca="false">IF(B195="","",IF(H195="Y",$B$8,$B$7))</f>
        <v/>
      </c>
      <c r="M195" s="8" t="str">
        <f aca="false">IF(K195="","",IF(K195&lt;=L195,"Yes","No"))</f>
        <v/>
      </c>
      <c r="N195" s="13"/>
      <c r="O195" s="13"/>
      <c r="P195" s="13"/>
      <c r="Q195" s="13"/>
      <c r="R195" s="14"/>
      <c r="S195" s="14"/>
      <c r="T195" s="8" t="str">
        <f aca="false">IF(AND(ISNUMBER(R195),ISNUMBER(S195)),NETWORKDAYS(R195,S195,$Y$6:$Y$40)-1,"")</f>
        <v/>
      </c>
      <c r="U195" s="8" t="str">
        <f aca="false">IF(T195="","",IF(T195&lt;=$B$10,"Yes","No"))</f>
        <v/>
      </c>
      <c r="V195" s="13"/>
    </row>
    <row r="196" customFormat="false" ht="15" hidden="false" customHeight="false" outlineLevel="0" collapsed="false">
      <c r="A196" s="13"/>
      <c r="B196" s="14"/>
      <c r="C196" s="13"/>
      <c r="D196" s="13"/>
      <c r="E196" s="13"/>
      <c r="F196" s="13"/>
      <c r="G196" s="13"/>
      <c r="H196" s="13"/>
      <c r="I196" s="14"/>
      <c r="J196" s="14"/>
      <c r="K196" s="8" t="str">
        <f aca="false">IF(AND(ISNUMBER(B196),ISNUMBER(J196)),NETWORKDAYS(B196,J196,$Y$6:$Y$40)-1,"")</f>
        <v/>
      </c>
      <c r="L196" s="8" t="str">
        <f aca="false">IF(B196="","",IF(H196="Y",$B$8,$B$7))</f>
        <v/>
      </c>
      <c r="M196" s="8" t="str">
        <f aca="false">IF(K196="","",IF(K196&lt;=L196,"Yes","No"))</f>
        <v/>
      </c>
      <c r="N196" s="13"/>
      <c r="O196" s="13"/>
      <c r="P196" s="13"/>
      <c r="Q196" s="13"/>
      <c r="R196" s="14"/>
      <c r="S196" s="14"/>
      <c r="T196" s="8" t="str">
        <f aca="false">IF(AND(ISNUMBER(R196),ISNUMBER(S196)),NETWORKDAYS(R196,S196,$Y$6:$Y$40)-1,"")</f>
        <v/>
      </c>
      <c r="U196" s="8" t="str">
        <f aca="false">IF(T196="","",IF(T196&lt;=$B$10,"Yes","No"))</f>
        <v/>
      </c>
      <c r="V196" s="13"/>
    </row>
    <row r="197" customFormat="false" ht="15" hidden="false" customHeight="false" outlineLevel="0" collapsed="false">
      <c r="A197" s="13"/>
      <c r="B197" s="14"/>
      <c r="C197" s="13"/>
      <c r="D197" s="13"/>
      <c r="E197" s="13"/>
      <c r="F197" s="13"/>
      <c r="G197" s="13"/>
      <c r="H197" s="13"/>
      <c r="I197" s="14"/>
      <c r="J197" s="14"/>
      <c r="K197" s="8" t="str">
        <f aca="false">IF(AND(ISNUMBER(B197),ISNUMBER(J197)),NETWORKDAYS(B197,J197,$Y$6:$Y$40)-1,"")</f>
        <v/>
      </c>
      <c r="L197" s="8" t="str">
        <f aca="false">IF(B197="","",IF(H197="Y",$B$8,$B$7))</f>
        <v/>
      </c>
      <c r="M197" s="8" t="str">
        <f aca="false">IF(K197="","",IF(K197&lt;=L197,"Yes","No"))</f>
        <v/>
      </c>
      <c r="N197" s="13"/>
      <c r="O197" s="13"/>
      <c r="P197" s="13"/>
      <c r="Q197" s="13"/>
      <c r="R197" s="14"/>
      <c r="S197" s="14"/>
      <c r="T197" s="8" t="str">
        <f aca="false">IF(AND(ISNUMBER(R197),ISNUMBER(S197)),NETWORKDAYS(R197,S197,$Y$6:$Y$40)-1,"")</f>
        <v/>
      </c>
      <c r="U197" s="8" t="str">
        <f aca="false">IF(T197="","",IF(T197&lt;=$B$10,"Yes","No"))</f>
        <v/>
      </c>
      <c r="V197" s="13"/>
    </row>
    <row r="198" customFormat="false" ht="15" hidden="false" customHeight="false" outlineLevel="0" collapsed="false">
      <c r="A198" s="13"/>
      <c r="B198" s="14"/>
      <c r="C198" s="13"/>
      <c r="D198" s="13"/>
      <c r="E198" s="13"/>
      <c r="F198" s="13"/>
      <c r="G198" s="13"/>
      <c r="H198" s="13"/>
      <c r="I198" s="14"/>
      <c r="J198" s="14"/>
      <c r="K198" s="8" t="str">
        <f aca="false">IF(AND(ISNUMBER(B198),ISNUMBER(J198)),NETWORKDAYS(B198,J198,$Y$6:$Y$40)-1,"")</f>
        <v/>
      </c>
      <c r="L198" s="8" t="str">
        <f aca="false">IF(B198="","",IF(H198="Y",$B$8,$B$7))</f>
        <v/>
      </c>
      <c r="M198" s="8" t="str">
        <f aca="false">IF(K198="","",IF(K198&lt;=L198,"Yes","No"))</f>
        <v/>
      </c>
      <c r="N198" s="13"/>
      <c r="O198" s="13"/>
      <c r="P198" s="13"/>
      <c r="Q198" s="13"/>
      <c r="R198" s="14"/>
      <c r="S198" s="14"/>
      <c r="T198" s="8" t="str">
        <f aca="false">IF(AND(ISNUMBER(R198),ISNUMBER(S198)),NETWORKDAYS(R198,S198,$Y$6:$Y$40)-1,"")</f>
        <v/>
      </c>
      <c r="U198" s="8" t="str">
        <f aca="false">IF(T198="","",IF(T198&lt;=$B$10,"Yes","No"))</f>
        <v/>
      </c>
      <c r="V198" s="13"/>
    </row>
    <row r="199" customFormat="false" ht="15" hidden="false" customHeight="false" outlineLevel="0" collapsed="false">
      <c r="A199" s="13"/>
      <c r="B199" s="14"/>
      <c r="C199" s="13"/>
      <c r="D199" s="13"/>
      <c r="E199" s="13"/>
      <c r="F199" s="13"/>
      <c r="G199" s="13"/>
      <c r="H199" s="13"/>
      <c r="I199" s="14"/>
      <c r="J199" s="14"/>
      <c r="K199" s="8" t="str">
        <f aca="false">IF(AND(ISNUMBER(B199),ISNUMBER(J199)),NETWORKDAYS(B199,J199,$Y$6:$Y$40)-1,"")</f>
        <v/>
      </c>
      <c r="L199" s="8" t="str">
        <f aca="false">IF(B199="","",IF(H199="Y",$B$8,$B$7))</f>
        <v/>
      </c>
      <c r="M199" s="8" t="str">
        <f aca="false">IF(K199="","",IF(K199&lt;=L199,"Yes","No"))</f>
        <v/>
      </c>
      <c r="N199" s="13"/>
      <c r="O199" s="13"/>
      <c r="P199" s="13"/>
      <c r="Q199" s="13"/>
      <c r="R199" s="14"/>
      <c r="S199" s="14"/>
      <c r="T199" s="8" t="str">
        <f aca="false">IF(AND(ISNUMBER(R199),ISNUMBER(S199)),NETWORKDAYS(R199,S199,$Y$6:$Y$40)-1,"")</f>
        <v/>
      </c>
      <c r="U199" s="8" t="str">
        <f aca="false">IF(T199="","",IF(T199&lt;=$B$10,"Yes","No"))</f>
        <v/>
      </c>
      <c r="V199" s="13"/>
    </row>
    <row r="200" customFormat="false" ht="15" hidden="false" customHeight="false" outlineLevel="0" collapsed="false">
      <c r="A200" s="13"/>
      <c r="B200" s="14"/>
      <c r="C200" s="13"/>
      <c r="D200" s="13"/>
      <c r="E200" s="13"/>
      <c r="F200" s="13"/>
      <c r="G200" s="13"/>
      <c r="H200" s="13"/>
      <c r="I200" s="14"/>
      <c r="J200" s="14"/>
      <c r="K200" s="8" t="str">
        <f aca="false">IF(AND(ISNUMBER(B200),ISNUMBER(J200)),NETWORKDAYS(B200,J200,$Y$6:$Y$40)-1,"")</f>
        <v/>
      </c>
      <c r="L200" s="8" t="str">
        <f aca="false">IF(B200="","",IF(H200="Y",$B$8,$B$7))</f>
        <v/>
      </c>
      <c r="M200" s="8" t="str">
        <f aca="false">IF(K200="","",IF(K200&lt;=L200,"Yes","No"))</f>
        <v/>
      </c>
      <c r="N200" s="13"/>
      <c r="O200" s="13"/>
      <c r="P200" s="13"/>
      <c r="Q200" s="13"/>
      <c r="R200" s="14"/>
      <c r="S200" s="14"/>
      <c r="T200" s="8" t="str">
        <f aca="false">IF(AND(ISNUMBER(R200),ISNUMBER(S200)),NETWORKDAYS(R200,S200,$Y$6:$Y$40)-1,"")</f>
        <v/>
      </c>
      <c r="U200" s="8" t="str">
        <f aca="false">IF(T200="","",IF(T200&lt;=$B$10,"Yes","No"))</f>
        <v/>
      </c>
      <c r="V200" s="13"/>
    </row>
    <row r="201" customFormat="false" ht="15" hidden="false" customHeight="false" outlineLevel="0" collapsed="false">
      <c r="A201" s="13"/>
      <c r="B201" s="14"/>
      <c r="C201" s="13"/>
      <c r="D201" s="13"/>
      <c r="E201" s="13"/>
      <c r="F201" s="13"/>
      <c r="G201" s="13"/>
      <c r="H201" s="13"/>
      <c r="I201" s="14"/>
      <c r="J201" s="14"/>
      <c r="K201" s="8" t="str">
        <f aca="false">IF(AND(ISNUMBER(B201),ISNUMBER(J201)),NETWORKDAYS(B201,J201,$Y$6:$Y$40)-1,"")</f>
        <v/>
      </c>
      <c r="L201" s="8" t="str">
        <f aca="false">IF(B201="","",IF(H201="Y",$B$8,$B$7))</f>
        <v/>
      </c>
      <c r="M201" s="8" t="str">
        <f aca="false">IF(K201="","",IF(K201&lt;=L201,"Yes","No"))</f>
        <v/>
      </c>
      <c r="N201" s="13"/>
      <c r="O201" s="13"/>
      <c r="P201" s="13"/>
      <c r="Q201" s="13"/>
      <c r="R201" s="14"/>
      <c r="S201" s="14"/>
      <c r="T201" s="8" t="str">
        <f aca="false">IF(AND(ISNUMBER(R201),ISNUMBER(S201)),NETWORKDAYS(R201,S201,$Y$6:$Y$40)-1,"")</f>
        <v/>
      </c>
      <c r="U201" s="8" t="str">
        <f aca="false">IF(T201="","",IF(T201&lt;=$B$10,"Yes","No"))</f>
        <v/>
      </c>
      <c r="V201" s="13"/>
    </row>
    <row r="202" customFormat="false" ht="15" hidden="false" customHeight="false" outlineLevel="0" collapsed="false">
      <c r="A202" s="13"/>
      <c r="B202" s="14"/>
      <c r="C202" s="13"/>
      <c r="D202" s="13"/>
      <c r="E202" s="13"/>
      <c r="F202" s="13"/>
      <c r="G202" s="13"/>
      <c r="H202" s="13"/>
      <c r="I202" s="14"/>
      <c r="J202" s="14"/>
      <c r="K202" s="8" t="str">
        <f aca="false">IF(AND(ISNUMBER(B202),ISNUMBER(J202)),NETWORKDAYS(B202,J202,$Y$6:$Y$40)-1,"")</f>
        <v/>
      </c>
      <c r="L202" s="8" t="str">
        <f aca="false">IF(B202="","",IF(H202="Y",$B$8,$B$7))</f>
        <v/>
      </c>
      <c r="M202" s="8" t="str">
        <f aca="false">IF(K202="","",IF(K202&lt;=L202,"Yes","No"))</f>
        <v/>
      </c>
      <c r="N202" s="13"/>
      <c r="O202" s="13"/>
      <c r="P202" s="13"/>
      <c r="Q202" s="13"/>
      <c r="R202" s="14"/>
      <c r="S202" s="14"/>
      <c r="T202" s="8" t="str">
        <f aca="false">IF(AND(ISNUMBER(R202),ISNUMBER(S202)),NETWORKDAYS(R202,S202,$Y$6:$Y$40)-1,"")</f>
        <v/>
      </c>
      <c r="U202" s="8" t="str">
        <f aca="false">IF(T202="","",IF(T202&lt;=$B$10,"Yes","No"))</f>
        <v/>
      </c>
      <c r="V202" s="13"/>
    </row>
    <row r="203" customFormat="false" ht="15" hidden="false" customHeight="false" outlineLevel="0" collapsed="false">
      <c r="A203" s="13"/>
      <c r="B203" s="14"/>
      <c r="C203" s="13"/>
      <c r="D203" s="13"/>
      <c r="E203" s="13"/>
      <c r="F203" s="13"/>
      <c r="G203" s="13"/>
      <c r="H203" s="13"/>
      <c r="I203" s="14"/>
      <c r="J203" s="14"/>
      <c r="K203" s="8" t="str">
        <f aca="false">IF(AND(ISNUMBER(B203),ISNUMBER(J203)),NETWORKDAYS(B203,J203,$Y$6:$Y$40)-1,"")</f>
        <v/>
      </c>
      <c r="L203" s="8" t="str">
        <f aca="false">IF(B203="","",IF(H203="Y",$B$8,$B$7))</f>
        <v/>
      </c>
      <c r="M203" s="8" t="str">
        <f aca="false">IF(K203="","",IF(K203&lt;=L203,"Yes","No"))</f>
        <v/>
      </c>
      <c r="N203" s="13"/>
      <c r="O203" s="13"/>
      <c r="P203" s="13"/>
      <c r="Q203" s="13"/>
      <c r="R203" s="14"/>
      <c r="S203" s="14"/>
      <c r="T203" s="8" t="str">
        <f aca="false">IF(AND(ISNUMBER(R203),ISNUMBER(S203)),NETWORKDAYS(R203,S203,$Y$6:$Y$40)-1,"")</f>
        <v/>
      </c>
      <c r="U203" s="8" t="str">
        <f aca="false">IF(T203="","",IF(T203&lt;=$B$10,"Yes","No"))</f>
        <v/>
      </c>
      <c r="V203" s="13"/>
    </row>
    <row r="204" customFormat="false" ht="15" hidden="false" customHeight="false" outlineLevel="0" collapsed="false">
      <c r="A204" s="13"/>
      <c r="B204" s="14"/>
      <c r="C204" s="13"/>
      <c r="D204" s="13"/>
      <c r="E204" s="13"/>
      <c r="F204" s="13"/>
      <c r="G204" s="13"/>
      <c r="H204" s="13"/>
      <c r="I204" s="14"/>
      <c r="J204" s="14"/>
      <c r="K204" s="8" t="str">
        <f aca="false">IF(AND(ISNUMBER(B204),ISNUMBER(J204)),NETWORKDAYS(B204,J204,$Y$6:$Y$40)-1,"")</f>
        <v/>
      </c>
      <c r="L204" s="8" t="str">
        <f aca="false">IF(B204="","",IF(H204="Y",$B$8,$B$7))</f>
        <v/>
      </c>
      <c r="M204" s="8" t="str">
        <f aca="false">IF(K204="","",IF(K204&lt;=L204,"Yes","No"))</f>
        <v/>
      </c>
      <c r="N204" s="13"/>
      <c r="O204" s="13"/>
      <c r="P204" s="13"/>
      <c r="Q204" s="13"/>
      <c r="R204" s="14"/>
      <c r="S204" s="14"/>
      <c r="T204" s="8" t="str">
        <f aca="false">IF(AND(ISNUMBER(R204),ISNUMBER(S204)),NETWORKDAYS(R204,S204,$Y$6:$Y$40)-1,"")</f>
        <v/>
      </c>
      <c r="U204" s="8" t="str">
        <f aca="false">IF(T204="","",IF(T204&lt;=$B$10,"Yes","No"))</f>
        <v/>
      </c>
      <c r="V204" s="13"/>
    </row>
    <row r="205" customFormat="false" ht="15" hidden="false" customHeight="false" outlineLevel="0" collapsed="false">
      <c r="A205" s="13"/>
      <c r="B205" s="14"/>
      <c r="C205" s="13"/>
      <c r="D205" s="13"/>
      <c r="E205" s="13"/>
      <c r="F205" s="13"/>
      <c r="G205" s="13"/>
      <c r="H205" s="13"/>
      <c r="I205" s="14"/>
      <c r="J205" s="14"/>
      <c r="K205" s="8" t="str">
        <f aca="false">IF(AND(ISNUMBER(B205),ISNUMBER(J205)),NETWORKDAYS(B205,J205,$Y$6:$Y$40)-1,"")</f>
        <v/>
      </c>
      <c r="L205" s="8" t="str">
        <f aca="false">IF(B205="","",IF(H205="Y",$B$8,$B$7))</f>
        <v/>
      </c>
      <c r="M205" s="8" t="str">
        <f aca="false">IF(K205="","",IF(K205&lt;=L205,"Yes","No"))</f>
        <v/>
      </c>
      <c r="N205" s="13"/>
      <c r="O205" s="13"/>
      <c r="P205" s="13"/>
      <c r="Q205" s="13"/>
      <c r="R205" s="14"/>
      <c r="S205" s="14"/>
      <c r="T205" s="8" t="str">
        <f aca="false">IF(AND(ISNUMBER(R205),ISNUMBER(S205)),NETWORKDAYS(R205,S205,$Y$6:$Y$40)-1,"")</f>
        <v/>
      </c>
      <c r="U205" s="8" t="str">
        <f aca="false">IF(T205="","",IF(T205&lt;=$B$10,"Yes","No"))</f>
        <v/>
      </c>
      <c r="V205" s="13"/>
    </row>
    <row r="206" customFormat="false" ht="15" hidden="false" customHeight="false" outlineLevel="0" collapsed="false">
      <c r="A206" s="13"/>
      <c r="B206" s="14"/>
      <c r="C206" s="13"/>
      <c r="D206" s="13"/>
      <c r="E206" s="13"/>
      <c r="F206" s="13"/>
      <c r="G206" s="13"/>
      <c r="H206" s="13"/>
      <c r="I206" s="14"/>
      <c r="J206" s="14"/>
      <c r="K206" s="8" t="str">
        <f aca="false">IF(AND(ISNUMBER(B206),ISNUMBER(J206)),NETWORKDAYS(B206,J206,$Y$6:$Y$40)-1,"")</f>
        <v/>
      </c>
      <c r="L206" s="8" t="str">
        <f aca="false">IF(B206="","",IF(H206="Y",$B$8,$B$7))</f>
        <v/>
      </c>
      <c r="M206" s="8" t="str">
        <f aca="false">IF(K206="","",IF(K206&lt;=L206,"Yes","No"))</f>
        <v/>
      </c>
      <c r="N206" s="13"/>
      <c r="O206" s="13"/>
      <c r="P206" s="13"/>
      <c r="Q206" s="13"/>
      <c r="R206" s="14"/>
      <c r="S206" s="14"/>
      <c r="T206" s="8" t="str">
        <f aca="false">IF(AND(ISNUMBER(R206),ISNUMBER(S206)),NETWORKDAYS(R206,S206,$Y$6:$Y$40)-1,"")</f>
        <v/>
      </c>
      <c r="U206" s="8" t="str">
        <f aca="false">IF(T206="","",IF(T206&lt;=$B$10,"Yes","No"))</f>
        <v/>
      </c>
      <c r="V206" s="13"/>
    </row>
    <row r="207" customFormat="false" ht="15" hidden="false" customHeight="false" outlineLevel="0" collapsed="false">
      <c r="A207" s="13"/>
      <c r="B207" s="14"/>
      <c r="C207" s="13"/>
      <c r="D207" s="13"/>
      <c r="E207" s="13"/>
      <c r="F207" s="13"/>
      <c r="G207" s="13"/>
      <c r="H207" s="13"/>
      <c r="I207" s="14"/>
      <c r="J207" s="14"/>
      <c r="K207" s="8" t="str">
        <f aca="false">IF(AND(ISNUMBER(B207),ISNUMBER(J207)),NETWORKDAYS(B207,J207,$Y$6:$Y$40)-1,"")</f>
        <v/>
      </c>
      <c r="L207" s="8" t="str">
        <f aca="false">IF(B207="","",IF(H207="Y",$B$8,$B$7))</f>
        <v/>
      </c>
      <c r="M207" s="8" t="str">
        <f aca="false">IF(K207="","",IF(K207&lt;=L207,"Yes","No"))</f>
        <v/>
      </c>
      <c r="N207" s="13"/>
      <c r="O207" s="13"/>
      <c r="P207" s="13"/>
      <c r="Q207" s="13"/>
      <c r="R207" s="14"/>
      <c r="S207" s="14"/>
      <c r="T207" s="8" t="str">
        <f aca="false">IF(AND(ISNUMBER(R207),ISNUMBER(S207)),NETWORKDAYS(R207,S207,$Y$6:$Y$40)-1,"")</f>
        <v/>
      </c>
      <c r="U207" s="8" t="str">
        <f aca="false">IF(T207="","",IF(T207&lt;=$B$10,"Yes","No"))</f>
        <v/>
      </c>
      <c r="V207" s="13"/>
    </row>
    <row r="208" customFormat="false" ht="15" hidden="false" customHeight="false" outlineLevel="0" collapsed="false">
      <c r="A208" s="13"/>
      <c r="B208" s="14"/>
      <c r="C208" s="13"/>
      <c r="D208" s="13"/>
      <c r="E208" s="13"/>
      <c r="F208" s="13"/>
      <c r="G208" s="13"/>
      <c r="H208" s="13"/>
      <c r="I208" s="14"/>
      <c r="J208" s="14"/>
      <c r="K208" s="8" t="str">
        <f aca="false">IF(AND(ISNUMBER(B208),ISNUMBER(J208)),NETWORKDAYS(B208,J208,$Y$6:$Y$40)-1,"")</f>
        <v/>
      </c>
      <c r="L208" s="8" t="str">
        <f aca="false">IF(B208="","",IF(H208="Y",$B$8,$B$7))</f>
        <v/>
      </c>
      <c r="M208" s="8" t="str">
        <f aca="false">IF(K208="","",IF(K208&lt;=L208,"Yes","No"))</f>
        <v/>
      </c>
      <c r="N208" s="13"/>
      <c r="O208" s="13"/>
      <c r="P208" s="13"/>
      <c r="Q208" s="13"/>
      <c r="R208" s="14"/>
      <c r="S208" s="14"/>
      <c r="T208" s="8" t="str">
        <f aca="false">IF(AND(ISNUMBER(R208),ISNUMBER(S208)),NETWORKDAYS(R208,S208,$Y$6:$Y$40)-1,"")</f>
        <v/>
      </c>
      <c r="U208" s="8" t="str">
        <f aca="false">IF(T208="","",IF(T208&lt;=$B$10,"Yes","No"))</f>
        <v/>
      </c>
      <c r="V208" s="13"/>
    </row>
    <row r="209" customFormat="false" ht="15" hidden="false" customHeight="false" outlineLevel="0" collapsed="false">
      <c r="A209" s="13"/>
      <c r="B209" s="14"/>
      <c r="C209" s="13"/>
      <c r="D209" s="13"/>
      <c r="E209" s="13"/>
      <c r="F209" s="13"/>
      <c r="G209" s="13"/>
      <c r="H209" s="13"/>
      <c r="I209" s="14"/>
      <c r="J209" s="14"/>
      <c r="K209" s="8" t="str">
        <f aca="false">IF(AND(ISNUMBER(B209),ISNUMBER(J209)),NETWORKDAYS(B209,J209,$Y$6:$Y$40)-1,"")</f>
        <v/>
      </c>
      <c r="L209" s="8" t="str">
        <f aca="false">IF(B209="","",IF(H209="Y",$B$8,$B$7))</f>
        <v/>
      </c>
      <c r="M209" s="8" t="str">
        <f aca="false">IF(K209="","",IF(K209&lt;=L209,"Yes","No"))</f>
        <v/>
      </c>
      <c r="N209" s="13"/>
      <c r="O209" s="13"/>
      <c r="P209" s="13"/>
      <c r="Q209" s="13"/>
      <c r="R209" s="14"/>
      <c r="S209" s="14"/>
      <c r="T209" s="8" t="str">
        <f aca="false">IF(AND(ISNUMBER(R209),ISNUMBER(S209)),NETWORKDAYS(R209,S209,$Y$6:$Y$40)-1,"")</f>
        <v/>
      </c>
      <c r="U209" s="8" t="str">
        <f aca="false">IF(T209="","",IF(T209&lt;=$B$10,"Yes","No"))</f>
        <v/>
      </c>
      <c r="V209" s="13"/>
    </row>
    <row r="210" customFormat="false" ht="15" hidden="false" customHeight="false" outlineLevel="0" collapsed="false">
      <c r="A210" s="13"/>
      <c r="B210" s="14"/>
      <c r="C210" s="13"/>
      <c r="D210" s="13"/>
      <c r="E210" s="13"/>
      <c r="F210" s="13"/>
      <c r="G210" s="13"/>
      <c r="H210" s="13"/>
      <c r="I210" s="14"/>
      <c r="J210" s="14"/>
      <c r="K210" s="8" t="str">
        <f aca="false">IF(AND(ISNUMBER(B210),ISNUMBER(J210)),NETWORKDAYS(B210,J210,$Y$6:$Y$40)-1,"")</f>
        <v/>
      </c>
      <c r="L210" s="8" t="str">
        <f aca="false">IF(B210="","",IF(H210="Y",$B$8,$B$7))</f>
        <v/>
      </c>
      <c r="M210" s="8" t="str">
        <f aca="false">IF(K210="","",IF(K210&lt;=L210,"Yes","No"))</f>
        <v/>
      </c>
      <c r="N210" s="13"/>
      <c r="O210" s="13"/>
      <c r="P210" s="13"/>
      <c r="Q210" s="13"/>
      <c r="R210" s="14"/>
      <c r="S210" s="14"/>
      <c r="T210" s="8" t="str">
        <f aca="false">IF(AND(ISNUMBER(R210),ISNUMBER(S210)),NETWORKDAYS(R210,S210,$Y$6:$Y$40)-1,"")</f>
        <v/>
      </c>
      <c r="U210" s="8" t="str">
        <f aca="false">IF(T210="","",IF(T210&lt;=$B$10,"Yes","No"))</f>
        <v/>
      </c>
      <c r="V210" s="13"/>
    </row>
    <row r="211" customFormat="false" ht="15" hidden="false" customHeight="false" outlineLevel="0" collapsed="false">
      <c r="A211" s="13"/>
      <c r="B211" s="14"/>
      <c r="C211" s="13"/>
      <c r="D211" s="13"/>
      <c r="E211" s="13"/>
      <c r="F211" s="13"/>
      <c r="G211" s="13"/>
      <c r="H211" s="13"/>
      <c r="I211" s="14"/>
      <c r="J211" s="14"/>
      <c r="K211" s="8" t="str">
        <f aca="false">IF(AND(ISNUMBER(B211),ISNUMBER(J211)),NETWORKDAYS(B211,J211,$Y$6:$Y$40)-1,"")</f>
        <v/>
      </c>
      <c r="L211" s="8" t="str">
        <f aca="false">IF(B211="","",IF(H211="Y",$B$8,$B$7))</f>
        <v/>
      </c>
      <c r="M211" s="8" t="str">
        <f aca="false">IF(K211="","",IF(K211&lt;=L211,"Yes","No"))</f>
        <v/>
      </c>
      <c r="N211" s="13"/>
      <c r="O211" s="13"/>
      <c r="P211" s="13"/>
      <c r="Q211" s="13"/>
      <c r="R211" s="14"/>
      <c r="S211" s="14"/>
      <c r="T211" s="8" t="str">
        <f aca="false">IF(AND(ISNUMBER(R211),ISNUMBER(S211)),NETWORKDAYS(R211,S211,$Y$6:$Y$40)-1,"")</f>
        <v/>
      </c>
      <c r="U211" s="8" t="str">
        <f aca="false">IF(T211="","",IF(T211&lt;=$B$10,"Yes","No"))</f>
        <v/>
      </c>
      <c r="V211" s="13"/>
    </row>
    <row r="212" customFormat="false" ht="15" hidden="false" customHeight="false" outlineLevel="0" collapsed="false">
      <c r="A212" s="13"/>
      <c r="B212" s="14"/>
      <c r="C212" s="13"/>
      <c r="D212" s="13"/>
      <c r="E212" s="13"/>
      <c r="F212" s="13"/>
      <c r="G212" s="13"/>
      <c r="H212" s="13"/>
      <c r="I212" s="14"/>
      <c r="J212" s="14"/>
      <c r="K212" s="8" t="str">
        <f aca="false">IF(AND(ISNUMBER(B212),ISNUMBER(J212)),NETWORKDAYS(B212,J212,$Y$6:$Y$40)-1,"")</f>
        <v/>
      </c>
      <c r="L212" s="8" t="str">
        <f aca="false">IF(B212="","",IF(H212="Y",$B$8,$B$7))</f>
        <v/>
      </c>
      <c r="M212" s="8" t="str">
        <f aca="false">IF(K212="","",IF(K212&lt;=L212,"Yes","No"))</f>
        <v/>
      </c>
      <c r="N212" s="13"/>
      <c r="O212" s="13"/>
      <c r="P212" s="13"/>
      <c r="Q212" s="13"/>
      <c r="R212" s="14"/>
      <c r="S212" s="14"/>
      <c r="T212" s="8" t="str">
        <f aca="false">IF(AND(ISNUMBER(R212),ISNUMBER(S212)),NETWORKDAYS(R212,S212,$Y$6:$Y$40)-1,"")</f>
        <v/>
      </c>
      <c r="U212" s="8" t="str">
        <f aca="false">IF(T212="","",IF(T212&lt;=$B$10,"Yes","No"))</f>
        <v/>
      </c>
      <c r="V212" s="13"/>
    </row>
    <row r="213" customFormat="false" ht="15" hidden="false" customHeight="false" outlineLevel="0" collapsed="false">
      <c r="A213" s="13"/>
      <c r="B213" s="14"/>
      <c r="C213" s="13"/>
      <c r="D213" s="13"/>
      <c r="E213" s="13"/>
      <c r="F213" s="13"/>
      <c r="G213" s="13"/>
      <c r="H213" s="13"/>
      <c r="I213" s="14"/>
      <c r="J213" s="14"/>
      <c r="K213" s="8" t="str">
        <f aca="false">IF(AND(ISNUMBER(B213),ISNUMBER(J213)),NETWORKDAYS(B213,J213,$Y$6:$Y$40)-1,"")</f>
        <v/>
      </c>
      <c r="L213" s="8" t="str">
        <f aca="false">IF(B213="","",IF(H213="Y",$B$8,$B$7))</f>
        <v/>
      </c>
      <c r="M213" s="8" t="str">
        <f aca="false">IF(K213="","",IF(K213&lt;=L213,"Yes","No"))</f>
        <v/>
      </c>
      <c r="N213" s="13"/>
      <c r="O213" s="13"/>
      <c r="P213" s="13"/>
      <c r="Q213" s="13"/>
      <c r="R213" s="14"/>
      <c r="S213" s="14"/>
      <c r="T213" s="8" t="str">
        <f aca="false">IF(AND(ISNUMBER(R213),ISNUMBER(S213)),NETWORKDAYS(R213,S213,$Y$6:$Y$40)-1,"")</f>
        <v/>
      </c>
      <c r="U213" s="8" t="str">
        <f aca="false">IF(T213="","",IF(T213&lt;=$B$10,"Yes","No"))</f>
        <v/>
      </c>
      <c r="V213" s="13"/>
    </row>
    <row r="214" customFormat="false" ht="15" hidden="false" customHeight="false" outlineLevel="0" collapsed="false">
      <c r="A214" s="13"/>
      <c r="B214" s="14"/>
      <c r="C214" s="13"/>
      <c r="D214" s="13"/>
      <c r="E214" s="13"/>
      <c r="F214" s="13"/>
      <c r="G214" s="13"/>
      <c r="H214" s="13"/>
      <c r="I214" s="14"/>
      <c r="J214" s="14"/>
      <c r="K214" s="8" t="str">
        <f aca="false">IF(AND(ISNUMBER(B214),ISNUMBER(J214)),NETWORKDAYS(B214,J214,$Y$6:$Y$40)-1,"")</f>
        <v/>
      </c>
      <c r="L214" s="8" t="str">
        <f aca="false">IF(B214="","",IF(H214="Y",$B$8,$B$7))</f>
        <v/>
      </c>
      <c r="M214" s="8" t="str">
        <f aca="false">IF(K214="","",IF(K214&lt;=L214,"Yes","No"))</f>
        <v/>
      </c>
      <c r="N214" s="13"/>
      <c r="O214" s="13"/>
      <c r="P214" s="13"/>
      <c r="Q214" s="13"/>
      <c r="R214" s="14"/>
      <c r="S214" s="14"/>
      <c r="T214" s="8" t="str">
        <f aca="false">IF(AND(ISNUMBER(R214),ISNUMBER(S214)),NETWORKDAYS(R214,S214,$Y$6:$Y$40)-1,"")</f>
        <v/>
      </c>
      <c r="U214" s="8" t="str">
        <f aca="false">IF(T214="","",IF(T214&lt;=$B$10,"Yes","No"))</f>
        <v/>
      </c>
      <c r="V214" s="13"/>
    </row>
    <row r="215" customFormat="false" ht="15" hidden="false" customHeight="false" outlineLevel="0" collapsed="false">
      <c r="A215" s="13"/>
      <c r="B215" s="14"/>
      <c r="C215" s="13"/>
      <c r="D215" s="13"/>
      <c r="E215" s="13"/>
      <c r="F215" s="13"/>
      <c r="G215" s="13"/>
      <c r="H215" s="13"/>
      <c r="I215" s="14"/>
      <c r="J215" s="14"/>
      <c r="K215" s="8" t="str">
        <f aca="false">IF(AND(ISNUMBER(B215),ISNUMBER(J215)),NETWORKDAYS(B215,J215,$Y$6:$Y$40)-1,"")</f>
        <v/>
      </c>
      <c r="L215" s="8" t="str">
        <f aca="false">IF(B215="","",IF(H215="Y",$B$8,$B$7))</f>
        <v/>
      </c>
      <c r="M215" s="8" t="str">
        <f aca="false">IF(K215="","",IF(K215&lt;=L215,"Yes","No"))</f>
        <v/>
      </c>
      <c r="N215" s="13"/>
      <c r="O215" s="13"/>
      <c r="P215" s="13"/>
      <c r="Q215" s="13"/>
      <c r="R215" s="14"/>
      <c r="S215" s="14"/>
      <c r="T215" s="8" t="str">
        <f aca="false">IF(AND(ISNUMBER(R215),ISNUMBER(S215)),NETWORKDAYS(R215,S215,$Y$6:$Y$40)-1,"")</f>
        <v/>
      </c>
      <c r="U215" s="8" t="str">
        <f aca="false">IF(T215="","",IF(T215&lt;=$B$10,"Yes","No"))</f>
        <v/>
      </c>
      <c r="V215" s="13"/>
    </row>
  </sheetData>
  <dataValidations count="9">
    <dataValidation allowBlank="true" errorStyle="stop" operator="between" showDropDown="false" showErrorMessage="false" showInputMessage="false" sqref="E15:E215" type="list">
      <formula1>"High bill,Estimated bill,Meter accuracy,Installation,Disconnection/reconnection,Prepaid,Usage data access,Privacy,Safety,Theft/tamper inspection,Other"</formula1>
      <formula2>0</formula2>
    </dataValidation>
    <dataValidation allowBlank="true" errorStyle="stop" operator="between" showDropDown="false" showErrorMessage="false" showInputMessage="false" sqref="H15:H215" type="list">
      <formula1>"Y,N"</formula1>
      <formula2>0</formula2>
    </dataValidation>
    <dataValidation allowBlank="true" errorStyle="stop" operator="between" showDropDown="false" showErrorMessage="false" showInputMessage="false" sqref="Q15:Q215" type="list">
      <formula1>"Y,N"</formula1>
      <formula2>0</formula2>
    </dataValidation>
    <dataValidation allowBlank="true" errorStyle="stop" operator="between" showDropDown="false" showErrorMessage="false" showInputMessage="false" sqref="V15:V215" type="list">
      <formula1>"Y,N"</formula1>
      <formula2>0</formula2>
    </dataValidation>
    <dataValidation type="date" operator="greaterThanOrEqual" allowBlank="true" showDropDown="false" showInputMessage="true" showErrorMessage="true" errorTitle="Enter a date" error="Enter a real date (yyyy-mm-dd), not text. Formulas that use this date fail silently on text." sqref="B15:B215">
      <formula1>1</formula1>
    </dataValidation>
    <dataValidation type="date" operator="greaterThanOrEqual" allowBlank="true" showDropDown="false" showInputMessage="true" showErrorMessage="true" errorTitle="Enter a date" error="Enter a real date (yyyy-mm-dd), not text. Formulas that use this date fail silently on text." sqref="I15:I215">
      <formula1>1</formula1>
    </dataValidation>
    <dataValidation type="date" operator="greaterThanOrEqual" allowBlank="true" showDropDown="false" showInputMessage="true" showErrorMessage="true" errorTitle="Enter a date" error="Enter a real date (yyyy-mm-dd), not text. Formulas that use this date fail silently on text." sqref="J15:J215">
      <formula1>1</formula1>
    </dataValidation>
    <dataValidation type="date" operator="greaterThanOrEqual" allowBlank="true" showDropDown="false" showInputMessage="true" showErrorMessage="true" errorTitle="Enter a date" error="Enter a real date (yyyy-mm-dd), not text. Formulas that use this date fail silently on text." sqref="R15:R215">
      <formula1>1</formula1>
    </dataValidation>
    <dataValidation type="date" operator="greaterThanOrEqual" allowBlank="true" showDropDown="false" showInputMessage="true" showErrorMessage="true" errorTitle="Enter a date" error="Enter a real date (yyyy-mm-dd), not text. Formulas that use this date fail silently on text." sqref="S15:S215">
      <formula1>1</formula1>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H1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5" topLeftCell="B6" activePane="bottomRight" state="frozen"/>
      <selection pane="topLeft" activeCell="A1" activeCellId="0" sqref="A1"/>
      <selection pane="topRight" activeCell="B1" activeCellId="0" sqref="B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32"/>
    <col collapsed="false" customWidth="true" hidden="false" outlineLevel="0" max="2" min="2" style="0" width="40"/>
    <col collapsed="false" customWidth="true" hidden="false" outlineLevel="0" max="3" min="3" style="0" width="26"/>
    <col collapsed="false" customWidth="true" hidden="false" outlineLevel="0" max="4" min="4" style="0" width="24"/>
    <col collapsed="false" customWidth="true" hidden="false" outlineLevel="0" max="5" min="5" style="0" width="14"/>
    <col collapsed="false" customWidth="true" hidden="false" outlineLevel="0" max="6" min="6" style="0" width="18"/>
    <col collapsed="false" customWidth="true" hidden="false" outlineLevel="0" max="7" min="7" style="0" width="14"/>
    <col collapsed="false" customWidth="true" hidden="false" outlineLevel="0" max="8" min="8" style="0" width="12"/>
  </cols>
  <sheetData>
    <row r="1" customFormat="false" ht="17.35" hidden="false" customHeight="false" outlineLevel="0" collapsed="false">
      <c r="A1" s="10" t="s">
        <v>1740</v>
      </c>
    </row>
    <row r="2" customFormat="false" ht="15" hidden="false" customHeight="false" outlineLevel="0" collapsed="false">
      <c r="A2" s="11" t="s">
        <v>1741</v>
      </c>
    </row>
    <row r="3" customFormat="false" ht="15" hidden="false" customHeight="false" outlineLevel="0" collapsed="false">
      <c r="A3" s="9" t="s">
        <v>134</v>
      </c>
    </row>
    <row r="5" customFormat="false" ht="30" hidden="false" customHeight="true" outlineLevel="0" collapsed="false">
      <c r="A5" s="6" t="s">
        <v>1742</v>
      </c>
      <c r="B5" s="6" t="s">
        <v>13</v>
      </c>
      <c r="C5" s="6" t="s">
        <v>1743</v>
      </c>
      <c r="D5" s="6" t="s">
        <v>1715</v>
      </c>
      <c r="E5" s="6" t="s">
        <v>1744</v>
      </c>
      <c r="F5" s="6" t="s">
        <v>1745</v>
      </c>
      <c r="G5" s="6" t="s">
        <v>140</v>
      </c>
      <c r="H5" s="6" t="s">
        <v>861</v>
      </c>
    </row>
    <row r="6" customFormat="false" ht="15" hidden="false" customHeight="false" outlineLevel="0" collapsed="false">
      <c r="A6" s="12" t="s">
        <v>1746</v>
      </c>
      <c r="B6" s="8" t="s">
        <v>1747</v>
      </c>
      <c r="C6" s="8" t="s">
        <v>1748</v>
      </c>
      <c r="D6" s="8" t="s">
        <v>1749</v>
      </c>
      <c r="E6" s="13"/>
      <c r="F6" s="8" t="s">
        <v>1750</v>
      </c>
      <c r="G6" s="13"/>
      <c r="H6" s="13" t="s">
        <v>866</v>
      </c>
    </row>
    <row r="7" customFormat="false" ht="22.35" hidden="false" customHeight="false" outlineLevel="0" collapsed="false">
      <c r="A7" s="12" t="s">
        <v>1751</v>
      </c>
      <c r="B7" s="8" t="s">
        <v>1752</v>
      </c>
      <c r="C7" s="8" t="s">
        <v>1748</v>
      </c>
      <c r="D7" s="8" t="s">
        <v>1753</v>
      </c>
      <c r="E7" s="13"/>
      <c r="F7" s="8" t="s">
        <v>1750</v>
      </c>
      <c r="G7" s="13"/>
      <c r="H7" s="13" t="s">
        <v>866</v>
      </c>
    </row>
    <row r="8" customFormat="false" ht="15" hidden="false" customHeight="false" outlineLevel="0" collapsed="false">
      <c r="A8" s="12" t="s">
        <v>1754</v>
      </c>
      <c r="B8" s="8" t="s">
        <v>1755</v>
      </c>
      <c r="C8" s="8" t="s">
        <v>1756</v>
      </c>
      <c r="D8" s="8" t="s">
        <v>1757</v>
      </c>
      <c r="E8" s="13"/>
      <c r="F8" s="8" t="s">
        <v>1750</v>
      </c>
      <c r="G8" s="13"/>
      <c r="H8" s="13" t="s">
        <v>866</v>
      </c>
    </row>
    <row r="9" customFormat="false" ht="15" hidden="false" customHeight="false" outlineLevel="0" collapsed="false">
      <c r="A9" s="12" t="s">
        <v>1758</v>
      </c>
      <c r="B9" s="8" t="s">
        <v>1759</v>
      </c>
      <c r="C9" s="8" t="s">
        <v>1760</v>
      </c>
      <c r="D9" s="8" t="s">
        <v>1761</v>
      </c>
      <c r="E9" s="13"/>
      <c r="F9" s="8" t="s">
        <v>1762</v>
      </c>
      <c r="G9" s="13"/>
      <c r="H9" s="13" t="s">
        <v>866</v>
      </c>
    </row>
    <row r="10" customFormat="false" ht="15" hidden="false" customHeight="false" outlineLevel="0" collapsed="false">
      <c r="A10" s="12" t="s">
        <v>1763</v>
      </c>
      <c r="B10" s="8" t="s">
        <v>1764</v>
      </c>
      <c r="C10" s="8" t="s">
        <v>1765</v>
      </c>
      <c r="D10" s="8" t="s">
        <v>1766</v>
      </c>
      <c r="E10" s="13"/>
      <c r="F10" s="8" t="s">
        <v>1750</v>
      </c>
      <c r="G10" s="13"/>
      <c r="H10" s="13" t="s">
        <v>866</v>
      </c>
    </row>
    <row r="11" customFormat="false" ht="15" hidden="false" customHeight="false" outlineLevel="0" collapsed="false">
      <c r="A11" s="12" t="s">
        <v>1767</v>
      </c>
      <c r="B11" s="8" t="s">
        <v>1768</v>
      </c>
      <c r="C11" s="8" t="s">
        <v>1769</v>
      </c>
      <c r="D11" s="8" t="s">
        <v>1770</v>
      </c>
      <c r="E11" s="13"/>
      <c r="F11" s="8" t="s">
        <v>1771</v>
      </c>
      <c r="G11" s="13"/>
      <c r="H11" s="13" t="s">
        <v>866</v>
      </c>
    </row>
    <row r="12" customFormat="false" ht="15" hidden="false" customHeight="false" outlineLevel="0" collapsed="false">
      <c r="A12" s="12" t="s">
        <v>1772</v>
      </c>
      <c r="B12" s="8" t="s">
        <v>1773</v>
      </c>
      <c r="C12" s="8" t="s">
        <v>1774</v>
      </c>
      <c r="D12" s="8" t="s">
        <v>1775</v>
      </c>
      <c r="E12" s="13"/>
      <c r="F12" s="8" t="s">
        <v>1776</v>
      </c>
      <c r="G12" s="13"/>
      <c r="H12" s="13" t="s">
        <v>866</v>
      </c>
    </row>
    <row r="13" customFormat="false" ht="15" hidden="false" customHeight="false" outlineLevel="0" collapsed="false">
      <c r="A13" s="12" t="s">
        <v>1777</v>
      </c>
      <c r="B13" s="8" t="s">
        <v>1778</v>
      </c>
      <c r="C13" s="8" t="s">
        <v>1779</v>
      </c>
      <c r="D13" s="8" t="s">
        <v>1780</v>
      </c>
      <c r="E13" s="13"/>
      <c r="F13" s="8" t="s">
        <v>1750</v>
      </c>
      <c r="G13" s="13"/>
      <c r="H13" s="13" t="s">
        <v>866</v>
      </c>
    </row>
    <row r="14" customFormat="false" ht="15" hidden="false" customHeight="false" outlineLevel="0" collapsed="false">
      <c r="A14" s="12" t="s">
        <v>1781</v>
      </c>
      <c r="B14" s="8" t="s">
        <v>1782</v>
      </c>
      <c r="C14" s="8" t="s">
        <v>1779</v>
      </c>
      <c r="D14" s="8" t="s">
        <v>1783</v>
      </c>
      <c r="E14" s="13"/>
      <c r="F14" s="8" t="s">
        <v>1784</v>
      </c>
      <c r="G14" s="13"/>
      <c r="H14" s="13" t="s">
        <v>866</v>
      </c>
    </row>
    <row r="15" customFormat="false" ht="15" hidden="false" customHeight="false" outlineLevel="0" collapsed="false">
      <c r="A15" s="12" t="s">
        <v>1785</v>
      </c>
      <c r="B15" s="8" t="s">
        <v>1786</v>
      </c>
      <c r="C15" s="8" t="s">
        <v>1787</v>
      </c>
      <c r="D15" s="8" t="s">
        <v>1788</v>
      </c>
      <c r="E15" s="13"/>
      <c r="F15" s="8" t="s">
        <v>1789</v>
      </c>
      <c r="G15" s="13"/>
      <c r="H15" s="13" t="s">
        <v>866</v>
      </c>
    </row>
    <row r="16" customFormat="false" ht="22.35" hidden="false" customHeight="false" outlineLevel="0" collapsed="false">
      <c r="A16" s="12" t="s">
        <v>1790</v>
      </c>
      <c r="B16" s="8" t="s">
        <v>1791</v>
      </c>
      <c r="C16" s="8" t="s">
        <v>1792</v>
      </c>
      <c r="D16" s="8" t="s">
        <v>1793</v>
      </c>
      <c r="E16" s="13"/>
      <c r="F16" s="8" t="s">
        <v>1750</v>
      </c>
      <c r="G16" s="13"/>
      <c r="H16" s="13" t="s">
        <v>866</v>
      </c>
    </row>
    <row r="17" customFormat="false" ht="15" hidden="false" customHeight="false" outlineLevel="0" collapsed="false">
      <c r="A17" s="12" t="s">
        <v>1794</v>
      </c>
      <c r="B17" s="8" t="s">
        <v>1795</v>
      </c>
      <c r="C17" s="8" t="s">
        <v>1760</v>
      </c>
      <c r="D17" s="8" t="s">
        <v>1796</v>
      </c>
      <c r="E17" s="13"/>
      <c r="F17" s="8" t="s">
        <v>1762</v>
      </c>
      <c r="G17" s="13"/>
      <c r="H17" s="13" t="s">
        <v>866</v>
      </c>
    </row>
    <row r="18" customFormat="false" ht="15" hidden="false" customHeight="false" outlineLevel="0" collapsed="false">
      <c r="A18" s="12" t="s">
        <v>1797</v>
      </c>
      <c r="B18" s="8" t="s">
        <v>1798</v>
      </c>
      <c r="C18" s="8" t="s">
        <v>1760</v>
      </c>
      <c r="D18" s="8" t="s">
        <v>1799</v>
      </c>
      <c r="E18" s="13"/>
      <c r="F18" s="8" t="s">
        <v>1762</v>
      </c>
      <c r="G18" s="13"/>
      <c r="H18" s="13" t="s">
        <v>866</v>
      </c>
    </row>
  </sheetData>
  <dataValidations count="1">
    <dataValidation allowBlank="true" errorStyle="stop" operator="between" showDropDown="false" showErrorMessage="false" showInputMessage="false" sqref="H6:H30" type="list">
      <formula1>"Not started,Drafted,Approved,Delivered"</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G2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5" topLeftCell="B6" activePane="bottomRight" state="frozen"/>
      <selection pane="topLeft" activeCell="A1" activeCellId="0" sqref="A1"/>
      <selection pane="topRight" activeCell="B1" activeCellId="0" sqref="B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30"/>
    <col collapsed="false" customWidth="true" hidden="false" outlineLevel="0" max="2" min="2" style="0" width="48"/>
    <col collapsed="false" customWidth="true" hidden="false" outlineLevel="0" max="3" min="3" style="0" width="18"/>
    <col collapsed="false" customWidth="true" hidden="false" outlineLevel="0" max="4" min="4" style="0" width="24"/>
    <col collapsed="false" customWidth="true" hidden="false" outlineLevel="0" max="6" min="5" style="0" width="20"/>
    <col collapsed="false" customWidth="true" hidden="false" outlineLevel="0" max="7" min="7" style="0" width="22"/>
  </cols>
  <sheetData>
    <row r="1" customFormat="false" ht="17.35" hidden="false" customHeight="false" outlineLevel="0" collapsed="false">
      <c r="A1" s="10" t="s">
        <v>1800</v>
      </c>
    </row>
    <row r="2" customFormat="false" ht="15" hidden="false" customHeight="false" outlineLevel="0" collapsed="false">
      <c r="A2" s="11" t="s">
        <v>1801</v>
      </c>
    </row>
    <row r="3" customFormat="false" ht="15" hidden="false" customHeight="false" outlineLevel="0" collapsed="false">
      <c r="A3" s="9" t="s">
        <v>134</v>
      </c>
    </row>
    <row r="5" customFormat="false" ht="30" hidden="false" customHeight="true" outlineLevel="0" collapsed="false">
      <c r="A5" s="6" t="s">
        <v>1802</v>
      </c>
      <c r="B5" s="6" t="s">
        <v>1803</v>
      </c>
      <c r="C5" s="6" t="s">
        <v>1804</v>
      </c>
      <c r="D5" s="6" t="s">
        <v>1743</v>
      </c>
      <c r="E5" s="6" t="s">
        <v>1805</v>
      </c>
      <c r="F5" s="6" t="s">
        <v>1806</v>
      </c>
      <c r="G5" s="6" t="s">
        <v>1745</v>
      </c>
    </row>
    <row r="6" customFormat="false" ht="22.35" hidden="false" customHeight="false" outlineLevel="0" collapsed="false">
      <c r="A6" s="12" t="s">
        <v>1807</v>
      </c>
      <c r="B6" s="8" t="s">
        <v>1808</v>
      </c>
      <c r="C6" s="8" t="s">
        <v>1809</v>
      </c>
      <c r="D6" s="8" t="s">
        <v>1810</v>
      </c>
      <c r="E6" s="8" t="s">
        <v>1811</v>
      </c>
      <c r="F6" s="8" t="s">
        <v>739</v>
      </c>
      <c r="G6" s="8" t="s">
        <v>1812</v>
      </c>
    </row>
    <row r="7" customFormat="false" ht="15" hidden="false" customHeight="false" outlineLevel="0" collapsed="false">
      <c r="A7" s="12" t="s">
        <v>1813</v>
      </c>
      <c r="B7" s="8" t="s">
        <v>1814</v>
      </c>
      <c r="C7" s="8" t="s">
        <v>1815</v>
      </c>
      <c r="D7" s="8" t="s">
        <v>1816</v>
      </c>
      <c r="E7" s="8" t="s">
        <v>489</v>
      </c>
      <c r="F7" s="8" t="s">
        <v>1817</v>
      </c>
      <c r="G7" s="8"/>
    </row>
    <row r="8" customFormat="false" ht="15" hidden="false" customHeight="false" outlineLevel="0" collapsed="false">
      <c r="A8" s="12" t="s">
        <v>1818</v>
      </c>
      <c r="B8" s="8" t="s">
        <v>1819</v>
      </c>
      <c r="C8" s="8" t="s">
        <v>1820</v>
      </c>
      <c r="D8" s="8" t="s">
        <v>1821</v>
      </c>
      <c r="E8" s="8" t="s">
        <v>1822</v>
      </c>
      <c r="F8" s="8" t="s">
        <v>1460</v>
      </c>
      <c r="G8" s="8"/>
    </row>
    <row r="9" customFormat="false" ht="15" hidden="false" customHeight="false" outlineLevel="0" collapsed="false">
      <c r="A9" s="12" t="s">
        <v>1823</v>
      </c>
      <c r="B9" s="8" t="s">
        <v>1824</v>
      </c>
      <c r="C9" s="8" t="s">
        <v>1820</v>
      </c>
      <c r="D9" s="8" t="s">
        <v>1825</v>
      </c>
      <c r="E9" s="8" t="s">
        <v>1826</v>
      </c>
      <c r="F9" s="8" t="s">
        <v>1460</v>
      </c>
      <c r="G9" s="8"/>
    </row>
    <row r="10" customFormat="false" ht="22.35" hidden="false" customHeight="false" outlineLevel="0" collapsed="false">
      <c r="A10" s="12" t="s">
        <v>1827</v>
      </c>
      <c r="B10" s="8" t="s">
        <v>1828</v>
      </c>
      <c r="C10" s="8" t="s">
        <v>1820</v>
      </c>
      <c r="D10" s="8" t="s">
        <v>1829</v>
      </c>
      <c r="E10" s="8" t="s">
        <v>1830</v>
      </c>
      <c r="F10" s="8" t="s">
        <v>1460</v>
      </c>
      <c r="G10" s="8"/>
    </row>
    <row r="11" customFormat="false" ht="15" hidden="false" customHeight="false" outlineLevel="0" collapsed="false">
      <c r="A11" s="12" t="s">
        <v>166</v>
      </c>
      <c r="B11" s="8" t="s">
        <v>1831</v>
      </c>
      <c r="C11" s="8" t="s">
        <v>1820</v>
      </c>
      <c r="D11" s="8" t="s">
        <v>1832</v>
      </c>
      <c r="E11" s="8" t="s">
        <v>1833</v>
      </c>
      <c r="F11" s="8" t="s">
        <v>1834</v>
      </c>
      <c r="G11" s="8"/>
    </row>
    <row r="12" customFormat="false" ht="15" hidden="false" customHeight="false" outlineLevel="0" collapsed="false">
      <c r="A12" s="12" t="s">
        <v>1835</v>
      </c>
      <c r="B12" s="8" t="s">
        <v>1836</v>
      </c>
      <c r="C12" s="8" t="s">
        <v>1837</v>
      </c>
      <c r="D12" s="8" t="s">
        <v>1838</v>
      </c>
      <c r="E12" s="8" t="s">
        <v>323</v>
      </c>
      <c r="F12" s="8" t="s">
        <v>1834</v>
      </c>
      <c r="G12" s="8"/>
    </row>
    <row r="13" customFormat="false" ht="22.35" hidden="false" customHeight="false" outlineLevel="0" collapsed="false">
      <c r="A13" s="12" t="s">
        <v>1839</v>
      </c>
      <c r="B13" s="8" t="s">
        <v>1840</v>
      </c>
      <c r="C13" s="8" t="s">
        <v>1841</v>
      </c>
      <c r="D13" s="8" t="s">
        <v>1460</v>
      </c>
      <c r="E13" s="8" t="s">
        <v>489</v>
      </c>
      <c r="F13" s="8" t="s">
        <v>1842</v>
      </c>
      <c r="G13" s="8"/>
    </row>
    <row r="14" customFormat="false" ht="15" hidden="false" customHeight="false" outlineLevel="0" collapsed="false">
      <c r="A14" s="12" t="s">
        <v>1843</v>
      </c>
      <c r="B14" s="8" t="s">
        <v>1844</v>
      </c>
      <c r="C14" s="8" t="s">
        <v>1845</v>
      </c>
      <c r="D14" s="8" t="s">
        <v>1565</v>
      </c>
      <c r="E14" s="8" t="s">
        <v>1834</v>
      </c>
      <c r="F14" s="8" t="s">
        <v>1846</v>
      </c>
      <c r="G14" s="8"/>
    </row>
    <row r="15" customFormat="false" ht="15" hidden="false" customHeight="false" outlineLevel="0" collapsed="false">
      <c r="A15" s="12" t="s">
        <v>1847</v>
      </c>
      <c r="B15" s="8" t="s">
        <v>1848</v>
      </c>
      <c r="C15" s="8" t="s">
        <v>1849</v>
      </c>
      <c r="D15" s="8" t="s">
        <v>1850</v>
      </c>
      <c r="E15" s="8" t="s">
        <v>327</v>
      </c>
      <c r="F15" s="8" t="s">
        <v>1834</v>
      </c>
      <c r="G15" s="8" t="s">
        <v>1851</v>
      </c>
    </row>
    <row r="16" customFormat="false" ht="22.35" hidden="false" customHeight="false" outlineLevel="0" collapsed="false">
      <c r="A16" s="12" t="s">
        <v>1852</v>
      </c>
      <c r="B16" s="8" t="s">
        <v>1853</v>
      </c>
      <c r="C16" s="8" t="s">
        <v>1854</v>
      </c>
      <c r="D16" s="8" t="s">
        <v>1595</v>
      </c>
      <c r="E16" s="8" t="s">
        <v>1833</v>
      </c>
      <c r="F16" s="8" t="s">
        <v>1834</v>
      </c>
      <c r="G16" s="8" t="s">
        <v>1855</v>
      </c>
    </row>
    <row r="17" customFormat="false" ht="22.35" hidden="false" customHeight="false" outlineLevel="0" collapsed="false">
      <c r="A17" s="12" t="s">
        <v>1856</v>
      </c>
      <c r="B17" s="8" t="s">
        <v>1857</v>
      </c>
      <c r="C17" s="8" t="s">
        <v>1858</v>
      </c>
      <c r="D17" s="8" t="s">
        <v>1859</v>
      </c>
      <c r="E17" s="8" t="s">
        <v>1860</v>
      </c>
      <c r="F17" s="8" t="s">
        <v>739</v>
      </c>
      <c r="G17" s="8" t="s">
        <v>1861</v>
      </c>
    </row>
    <row r="18" customFormat="false" ht="22.35" hidden="false" customHeight="false" outlineLevel="0" collapsed="false">
      <c r="A18" s="12" t="s">
        <v>1862</v>
      </c>
      <c r="B18" s="8" t="s">
        <v>1863</v>
      </c>
      <c r="C18" s="8" t="s">
        <v>1864</v>
      </c>
      <c r="D18" s="8" t="s">
        <v>1460</v>
      </c>
      <c r="E18" s="8" t="s">
        <v>1830</v>
      </c>
      <c r="F18" s="8" t="s">
        <v>1834</v>
      </c>
      <c r="G18" s="8"/>
    </row>
    <row r="19" customFormat="false" ht="22.35" hidden="false" customHeight="false" outlineLevel="0" collapsed="false">
      <c r="A19" s="12" t="s">
        <v>1865</v>
      </c>
      <c r="B19" s="8" t="s">
        <v>1866</v>
      </c>
      <c r="C19" s="8" t="s">
        <v>1820</v>
      </c>
      <c r="D19" s="8" t="s">
        <v>1829</v>
      </c>
      <c r="E19" s="8" t="s">
        <v>1867</v>
      </c>
      <c r="F19" s="8" t="s">
        <v>1460</v>
      </c>
      <c r="G19" s="8"/>
    </row>
    <row r="20" customFormat="false" ht="22.35" hidden="false" customHeight="false" outlineLevel="0" collapsed="false">
      <c r="A20" s="12" t="s">
        <v>1868</v>
      </c>
      <c r="B20" s="8" t="s">
        <v>1869</v>
      </c>
      <c r="C20" s="8" t="s">
        <v>1870</v>
      </c>
      <c r="D20" s="8" t="s">
        <v>1871</v>
      </c>
      <c r="E20" s="8" t="s">
        <v>1872</v>
      </c>
      <c r="F20" s="8" t="s">
        <v>1834</v>
      </c>
      <c r="G20" s="8" t="s">
        <v>1873</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J5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5" topLeftCell="C6" activePane="bottomRight" state="frozen"/>
      <selection pane="topLeft" activeCell="A1" activeCellId="0" sqref="A1"/>
      <selection pane="topRight" activeCell="C1" activeCellId="0" sqref="C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40"/>
    <col collapsed="false" customWidth="true" hidden="false" outlineLevel="0" max="2" min="2" style="0" width="20"/>
    <col collapsed="false" customWidth="true" hidden="false" outlineLevel="0" max="10" min="3" style="0" width="14"/>
  </cols>
  <sheetData>
    <row r="1" customFormat="false" ht="17.35" hidden="false" customHeight="false" outlineLevel="0" collapsed="false">
      <c r="A1" s="10" t="s">
        <v>1874</v>
      </c>
    </row>
    <row r="2" customFormat="false" ht="15" hidden="false" customHeight="false" outlineLevel="0" collapsed="false">
      <c r="A2" s="11" t="s">
        <v>1875</v>
      </c>
    </row>
    <row r="3" customFormat="false" ht="15" hidden="false" customHeight="false" outlineLevel="0" collapsed="false">
      <c r="A3" s="9" t="s">
        <v>134</v>
      </c>
    </row>
    <row r="5" customFormat="false" ht="30" hidden="false" customHeight="true" outlineLevel="0" collapsed="false">
      <c r="A5" s="6" t="s">
        <v>1876</v>
      </c>
      <c r="B5" s="6" t="s">
        <v>1877</v>
      </c>
      <c r="C5" s="6" t="s">
        <v>1878</v>
      </c>
      <c r="D5" s="6" t="s">
        <v>1879</v>
      </c>
      <c r="E5" s="6" t="s">
        <v>1880</v>
      </c>
      <c r="F5" s="6" t="s">
        <v>1881</v>
      </c>
      <c r="G5" s="6" t="s">
        <v>1882</v>
      </c>
      <c r="H5" s="6" t="s">
        <v>1883</v>
      </c>
      <c r="I5" s="6" t="s">
        <v>1884</v>
      </c>
      <c r="J5" s="6" t="s">
        <v>1885</v>
      </c>
    </row>
    <row r="6" customFormat="false" ht="15" hidden="false" customHeight="false" outlineLevel="0" collapsed="false">
      <c r="A6" s="12" t="s">
        <v>517</v>
      </c>
      <c r="B6" s="8"/>
      <c r="C6" s="13"/>
      <c r="D6" s="13"/>
      <c r="E6" s="13"/>
      <c r="F6" s="13"/>
      <c r="G6" s="13"/>
      <c r="H6" s="13"/>
      <c r="I6" s="13"/>
      <c r="J6" s="13"/>
    </row>
    <row r="7" customFormat="false" ht="15" hidden="false" customHeight="false" outlineLevel="0" collapsed="false">
      <c r="A7" s="12" t="s">
        <v>1886</v>
      </c>
      <c r="B7" s="8"/>
      <c r="C7" s="13"/>
      <c r="D7" s="13"/>
      <c r="E7" s="13"/>
      <c r="F7" s="13"/>
      <c r="G7" s="13"/>
      <c r="H7" s="13"/>
      <c r="I7" s="13"/>
      <c r="J7" s="13"/>
    </row>
    <row r="8" customFormat="false" ht="22.35" hidden="false" customHeight="false" outlineLevel="0" collapsed="false">
      <c r="A8" s="12" t="s">
        <v>1887</v>
      </c>
      <c r="B8" s="8" t="s">
        <v>1888</v>
      </c>
      <c r="C8" s="13"/>
      <c r="D8" s="13"/>
      <c r="E8" s="13"/>
      <c r="F8" s="13"/>
      <c r="G8" s="13"/>
      <c r="H8" s="13"/>
      <c r="I8" s="13"/>
      <c r="J8" s="13"/>
    </row>
    <row r="9" customFormat="false" ht="22.35" hidden="false" customHeight="false" outlineLevel="0" collapsed="false">
      <c r="A9" s="12" t="s">
        <v>1889</v>
      </c>
      <c r="B9" s="8" t="s">
        <v>1890</v>
      </c>
      <c r="C9" s="13"/>
      <c r="D9" s="13"/>
      <c r="E9" s="13"/>
      <c r="F9" s="13"/>
      <c r="G9" s="13"/>
      <c r="H9" s="13"/>
      <c r="I9" s="13"/>
      <c r="J9" s="13"/>
    </row>
    <row r="10" customFormat="false" ht="15" hidden="false" customHeight="false" outlineLevel="0" collapsed="false">
      <c r="A10" s="12" t="s">
        <v>1891</v>
      </c>
      <c r="B10" s="8" t="s">
        <v>75</v>
      </c>
      <c r="C10" s="13"/>
      <c r="D10" s="13"/>
      <c r="E10" s="13"/>
      <c r="F10" s="13"/>
      <c r="G10" s="13"/>
      <c r="H10" s="13"/>
      <c r="I10" s="13"/>
      <c r="J10" s="13"/>
    </row>
    <row r="11" customFormat="false" ht="15" hidden="false" customHeight="false" outlineLevel="0" collapsed="false">
      <c r="A11" s="12" t="s">
        <v>1892</v>
      </c>
      <c r="B11" s="8"/>
      <c r="C11" s="28"/>
      <c r="D11" s="28"/>
      <c r="E11" s="28"/>
      <c r="F11" s="28"/>
      <c r="G11" s="28"/>
      <c r="H11" s="28"/>
      <c r="I11" s="28"/>
      <c r="J11" s="28"/>
    </row>
    <row r="12" customFormat="false" ht="15" hidden="false" customHeight="false" outlineLevel="0" collapsed="false">
      <c r="A12" s="12" t="s">
        <v>1893</v>
      </c>
      <c r="B12" s="8" t="s">
        <v>75</v>
      </c>
      <c r="C12" s="13"/>
      <c r="D12" s="13"/>
      <c r="E12" s="13"/>
      <c r="F12" s="13"/>
      <c r="G12" s="13"/>
      <c r="H12" s="13"/>
      <c r="I12" s="13"/>
      <c r="J12" s="13"/>
    </row>
    <row r="13" customFormat="false" ht="15" hidden="false" customHeight="false" outlineLevel="0" collapsed="false">
      <c r="A13" s="12" t="s">
        <v>1894</v>
      </c>
      <c r="B13" s="8" t="s">
        <v>75</v>
      </c>
      <c r="C13" s="14"/>
      <c r="D13" s="14"/>
      <c r="E13" s="14"/>
      <c r="F13" s="14"/>
      <c r="G13" s="14"/>
      <c r="H13" s="14"/>
      <c r="I13" s="14"/>
      <c r="J13" s="14"/>
    </row>
    <row r="14" customFormat="false" ht="15" hidden="false" customHeight="false" outlineLevel="0" collapsed="false">
      <c r="A14" s="12" t="s">
        <v>1895</v>
      </c>
      <c r="B14" s="8" t="s">
        <v>1896</v>
      </c>
      <c r="C14" s="13"/>
      <c r="D14" s="13"/>
      <c r="E14" s="13"/>
      <c r="F14" s="13"/>
      <c r="G14" s="13"/>
      <c r="H14" s="13"/>
      <c r="I14" s="13"/>
      <c r="J14" s="13"/>
    </row>
    <row r="15" customFormat="false" ht="15" hidden="false" customHeight="false" outlineLevel="0" collapsed="false">
      <c r="A15" s="12" t="s">
        <v>1897</v>
      </c>
      <c r="B15" s="8" t="s">
        <v>16</v>
      </c>
      <c r="C15" s="31"/>
      <c r="D15" s="31"/>
      <c r="E15" s="31"/>
      <c r="F15" s="31"/>
      <c r="G15" s="31"/>
      <c r="H15" s="31"/>
      <c r="I15" s="31"/>
      <c r="J15" s="31"/>
    </row>
    <row r="16" customFormat="false" ht="15" hidden="false" customHeight="false" outlineLevel="0" collapsed="false">
      <c r="A16" s="12" t="inlineStr">
        <is>
          <t xml:space="preserve">Lowest readiness category (category concerned)</t>
        </is>
      </c>
      <c r="B16" s="8" t="inlineStr">
        <is>
          <t xml:space="preserve">A1 Readiness Scoring</t>
        </is>
      </c>
      <c r="C16" s="31"/>
      <c r="D16" s="31"/>
      <c r="E16" s="31"/>
      <c r="F16" s="31"/>
      <c r="G16" s="31"/>
      <c r="H16" s="31"/>
      <c r="I16" s="31"/>
      <c r="J16" s="31"/>
    </row>
    <row r="17" customFormat="false" ht="15" hidden="false" customHeight="false" outlineLevel="0" collapsed="false">
      <c r="A17" s="12" t="s">
        <v>1898</v>
      </c>
      <c r="B17" s="8" t="s">
        <v>21</v>
      </c>
      <c r="C17" s="53"/>
      <c r="D17" s="53"/>
      <c r="E17" s="53"/>
      <c r="F17" s="53"/>
      <c r="G17" s="53"/>
      <c r="H17" s="53"/>
      <c r="I17" s="53"/>
      <c r="J17" s="53"/>
    </row>
    <row r="18" customFormat="false" ht="15" hidden="false" customHeight="false" outlineLevel="0" collapsed="false">
      <c r="A18" s="12" t="s">
        <v>1899</v>
      </c>
      <c r="B18" s="8" t="s">
        <v>21</v>
      </c>
      <c r="C18" s="53"/>
      <c r="D18" s="53"/>
      <c r="E18" s="53"/>
      <c r="F18" s="53"/>
      <c r="G18" s="53"/>
      <c r="H18" s="53"/>
      <c r="I18" s="53"/>
      <c r="J18" s="53"/>
    </row>
    <row r="19" customFormat="false" ht="15" hidden="false" customHeight="false" outlineLevel="0" collapsed="false">
      <c r="A19" s="12" t="s">
        <v>1900</v>
      </c>
      <c r="B19" s="8" t="s">
        <v>21</v>
      </c>
      <c r="C19" s="53"/>
      <c r="D19" s="53"/>
      <c r="E19" s="53"/>
      <c r="F19" s="53"/>
      <c r="G19" s="53"/>
      <c r="H19" s="53"/>
      <c r="I19" s="53"/>
      <c r="J19" s="53"/>
    </row>
    <row r="20" customFormat="false" ht="15" hidden="false" customHeight="false" outlineLevel="0" collapsed="false">
      <c r="A20" s="12" t="s">
        <v>1901</v>
      </c>
      <c r="B20" s="8" t="s">
        <v>21</v>
      </c>
      <c r="C20" s="53"/>
      <c r="D20" s="53"/>
      <c r="E20" s="53"/>
      <c r="F20" s="53"/>
      <c r="G20" s="53"/>
      <c r="H20" s="53"/>
      <c r="I20" s="53"/>
      <c r="J20" s="53"/>
    </row>
    <row r="21" customFormat="false" ht="15" hidden="false" customHeight="false" outlineLevel="0" collapsed="false">
      <c r="A21" s="12" t="s">
        <v>1902</v>
      </c>
      <c r="B21" s="8" t="s">
        <v>21</v>
      </c>
      <c r="C21" s="43"/>
      <c r="D21" s="43"/>
      <c r="E21" s="43"/>
      <c r="F21" s="43"/>
      <c r="G21" s="43"/>
      <c r="H21" s="43"/>
      <c r="I21" s="43"/>
      <c r="J21" s="43"/>
    </row>
    <row r="22" customFormat="false" ht="15" hidden="false" customHeight="false" outlineLevel="0" collapsed="false">
      <c r="A22" s="12" t="s">
        <v>1903</v>
      </c>
      <c r="B22" s="8" t="s">
        <v>112</v>
      </c>
      <c r="C22" s="28"/>
      <c r="D22" s="28"/>
      <c r="E22" s="28"/>
      <c r="F22" s="28"/>
      <c r="G22" s="28"/>
      <c r="H22" s="28"/>
      <c r="I22" s="28"/>
      <c r="J22" s="28"/>
    </row>
    <row r="23" customFormat="false" ht="15" hidden="false" customHeight="false" outlineLevel="0" collapsed="false">
      <c r="A23" s="12" t="s">
        <v>1904</v>
      </c>
      <c r="B23" s="8" t="s">
        <v>112</v>
      </c>
      <c r="C23" s="28"/>
      <c r="D23" s="28"/>
      <c r="E23" s="28"/>
      <c r="F23" s="28"/>
      <c r="G23" s="28"/>
      <c r="H23" s="28"/>
      <c r="I23" s="28"/>
      <c r="J23" s="28"/>
    </row>
    <row r="24" customFormat="false" ht="15" hidden="false" customHeight="false" outlineLevel="0" collapsed="false">
      <c r="A24" s="12" t="s">
        <v>1905</v>
      </c>
      <c r="B24" s="8"/>
      <c r="C24" s="28"/>
      <c r="D24" s="28"/>
      <c r="E24" s="28"/>
      <c r="F24" s="28"/>
      <c r="G24" s="28"/>
      <c r="H24" s="28"/>
      <c r="I24" s="28"/>
      <c r="J24" s="28"/>
    </row>
    <row r="25" customFormat="false" ht="15" hidden="false" customHeight="false" outlineLevel="0" collapsed="false">
      <c r="A25" s="12" t="s">
        <v>1906</v>
      </c>
      <c r="B25" s="8" t="s">
        <v>1907</v>
      </c>
      <c r="C25" s="27"/>
      <c r="D25" s="27"/>
      <c r="E25" s="27"/>
      <c r="F25" s="27"/>
      <c r="G25" s="27"/>
      <c r="H25" s="27"/>
      <c r="I25" s="27"/>
      <c r="J25" s="27"/>
    </row>
    <row r="26" customFormat="false" ht="15" hidden="false" customHeight="false" outlineLevel="0" collapsed="false">
      <c r="A26" s="12" t="s">
        <v>760</v>
      </c>
      <c r="B26" s="8"/>
      <c r="C26" s="53"/>
      <c r="D26" s="53"/>
      <c r="E26" s="53"/>
      <c r="F26" s="53"/>
      <c r="G26" s="53"/>
      <c r="H26" s="53"/>
      <c r="I26" s="53"/>
      <c r="J26" s="53"/>
    </row>
    <row r="27" customFormat="false" ht="15" hidden="false" customHeight="false" outlineLevel="0" collapsed="false">
      <c r="A27" s="12" t="s">
        <v>1908</v>
      </c>
      <c r="B27" s="8"/>
      <c r="C27" s="27"/>
      <c r="D27" s="27"/>
      <c r="E27" s="27"/>
      <c r="F27" s="27"/>
      <c r="G27" s="27"/>
      <c r="H27" s="27"/>
      <c r="I27" s="27"/>
      <c r="J27" s="27"/>
    </row>
    <row r="28" customFormat="false" ht="15" hidden="false" customHeight="false" outlineLevel="0" collapsed="false">
      <c r="A28" s="12" t="s">
        <v>1909</v>
      </c>
      <c r="B28" s="8" t="s">
        <v>1910</v>
      </c>
      <c r="C28" s="53"/>
      <c r="D28" s="53"/>
      <c r="E28" s="53"/>
      <c r="F28" s="53"/>
      <c r="G28" s="53"/>
      <c r="H28" s="53"/>
      <c r="I28" s="53"/>
      <c r="J28" s="53"/>
    </row>
    <row r="29" customFormat="false" ht="15" hidden="false" customHeight="false" outlineLevel="0" collapsed="false">
      <c r="A29" s="12" t="s">
        <v>269</v>
      </c>
      <c r="B29" s="8" t="s">
        <v>1910</v>
      </c>
      <c r="C29" s="53"/>
      <c r="D29" s="53"/>
      <c r="E29" s="53"/>
      <c r="F29" s="53"/>
      <c r="G29" s="53"/>
      <c r="H29" s="53"/>
      <c r="I29" s="53"/>
      <c r="J29" s="53"/>
    </row>
    <row r="30" customFormat="false" ht="22.35" hidden="false" customHeight="false" outlineLevel="0" collapsed="false">
      <c r="A30" s="12" t="s">
        <v>1697</v>
      </c>
      <c r="B30" s="8" t="s">
        <v>1911</v>
      </c>
      <c r="C30" s="43"/>
      <c r="D30" s="43"/>
      <c r="E30" s="43"/>
      <c r="F30" s="43"/>
      <c r="G30" s="43"/>
      <c r="H30" s="43"/>
      <c r="I30" s="43"/>
      <c r="J30" s="43"/>
    </row>
    <row r="31" customFormat="false" ht="22.35" hidden="false" customHeight="false" outlineLevel="0" collapsed="false">
      <c r="A31" s="12" t="s">
        <v>1912</v>
      </c>
      <c r="B31" s="8" t="s">
        <v>1911</v>
      </c>
      <c r="C31" s="43"/>
      <c r="D31" s="43"/>
      <c r="E31" s="43"/>
      <c r="F31" s="43"/>
      <c r="G31" s="43"/>
      <c r="H31" s="43"/>
      <c r="I31" s="43"/>
      <c r="J31" s="43"/>
    </row>
    <row r="32" customFormat="false" ht="22.35" hidden="false" customHeight="false" outlineLevel="0" collapsed="false">
      <c r="A32" s="12" t="s">
        <v>1913</v>
      </c>
      <c r="B32" s="8" t="s">
        <v>1911</v>
      </c>
      <c r="C32" s="43"/>
      <c r="D32" s="43"/>
      <c r="E32" s="43"/>
      <c r="F32" s="43"/>
      <c r="G32" s="43"/>
      <c r="H32" s="43"/>
      <c r="I32" s="43"/>
      <c r="J32" s="43"/>
    </row>
    <row r="33" customFormat="false" ht="32.8" hidden="false" customHeight="false" outlineLevel="0" collapsed="false">
      <c r="A33" s="12" t="s">
        <v>1711</v>
      </c>
      <c r="B33" s="8" t="s">
        <v>1914</v>
      </c>
      <c r="C33" s="31"/>
      <c r="D33" s="31"/>
      <c r="E33" s="31"/>
      <c r="F33" s="31"/>
      <c r="G33" s="31"/>
      <c r="H33" s="31"/>
      <c r="I33" s="31"/>
      <c r="J33" s="31"/>
    </row>
    <row r="34" customFormat="false" ht="15" hidden="false" customHeight="false" outlineLevel="0" collapsed="false">
      <c r="A34" s="12" t="s">
        <v>1915</v>
      </c>
      <c r="B34" s="8"/>
      <c r="C34" s="27"/>
      <c r="D34" s="27"/>
      <c r="E34" s="27"/>
      <c r="F34" s="27"/>
      <c r="G34" s="27"/>
      <c r="H34" s="27"/>
      <c r="I34" s="27"/>
      <c r="J34" s="27"/>
    </row>
    <row r="35" customFormat="false" ht="15" hidden="false" customHeight="false" outlineLevel="0" collapsed="false">
      <c r="A35" s="12" t="s">
        <v>1916</v>
      </c>
      <c r="B35" s="8" t="s">
        <v>1917</v>
      </c>
      <c r="C35" s="31"/>
      <c r="D35" s="31"/>
      <c r="E35" s="31"/>
      <c r="F35" s="31"/>
      <c r="G35" s="31"/>
      <c r="H35" s="31"/>
      <c r="I35" s="31"/>
      <c r="J35" s="31"/>
    </row>
    <row r="36" customFormat="false" ht="15" hidden="false" customHeight="false" outlineLevel="0" collapsed="false">
      <c r="A36" s="12" t="s">
        <v>1918</v>
      </c>
      <c r="B36" s="8"/>
      <c r="C36" s="31"/>
      <c r="D36" s="31"/>
      <c r="E36" s="31"/>
      <c r="F36" s="31"/>
      <c r="G36" s="31"/>
      <c r="H36" s="31"/>
      <c r="I36" s="31"/>
      <c r="J36" s="31"/>
    </row>
    <row r="37" customFormat="false" ht="15" hidden="false" customHeight="false" outlineLevel="0" collapsed="false">
      <c r="A37" s="12" t="s">
        <v>1919</v>
      </c>
      <c r="B37" s="8"/>
      <c r="C37" s="31"/>
      <c r="D37" s="31"/>
      <c r="E37" s="31"/>
      <c r="F37" s="31"/>
      <c r="G37" s="31"/>
      <c r="H37" s="31"/>
      <c r="I37" s="31"/>
      <c r="J37" s="31"/>
    </row>
    <row r="38" customFormat="false" ht="15" hidden="false" customHeight="false" outlineLevel="0" collapsed="false">
      <c r="A38" s="12" t="s">
        <v>1920</v>
      </c>
      <c r="B38" s="8" t="s">
        <v>1921</v>
      </c>
      <c r="C38" s="27"/>
      <c r="D38" s="27"/>
      <c r="E38" s="27"/>
      <c r="F38" s="27"/>
      <c r="G38" s="27"/>
      <c r="H38" s="27"/>
      <c r="I38" s="27"/>
      <c r="J38" s="27"/>
    </row>
    <row r="39" customFormat="false" ht="15" hidden="false" customHeight="false" outlineLevel="0" collapsed="false">
      <c r="A39" s="12" t="s">
        <v>1922</v>
      </c>
      <c r="B39" s="8" t="s">
        <v>1396</v>
      </c>
      <c r="C39" s="27"/>
      <c r="D39" s="27"/>
      <c r="E39" s="27"/>
      <c r="F39" s="27"/>
      <c r="G39" s="27"/>
      <c r="H39" s="27"/>
      <c r="I39" s="27"/>
      <c r="J39" s="27"/>
    </row>
    <row r="40" customFormat="false" ht="15" hidden="false" customHeight="false" outlineLevel="0" collapsed="false">
      <c r="A40" s="12" t="s">
        <v>1923</v>
      </c>
      <c r="B40" s="8" t="s">
        <v>1924</v>
      </c>
      <c r="C40" s="34"/>
      <c r="D40" s="34"/>
      <c r="E40" s="34"/>
      <c r="F40" s="34"/>
      <c r="G40" s="34"/>
      <c r="H40" s="34"/>
      <c r="I40" s="34"/>
      <c r="J40" s="34"/>
    </row>
    <row r="41" customFormat="false" ht="15" hidden="false" customHeight="false" outlineLevel="0" collapsed="false">
      <c r="A41" s="12" t="s">
        <v>1925</v>
      </c>
      <c r="B41" s="8"/>
      <c r="C41" s="34"/>
      <c r="D41" s="34"/>
      <c r="E41" s="34"/>
      <c r="F41" s="34"/>
      <c r="G41" s="34"/>
      <c r="H41" s="34"/>
      <c r="I41" s="34"/>
      <c r="J41" s="34"/>
    </row>
    <row r="42" customFormat="false" ht="15" hidden="false" customHeight="false" outlineLevel="0" collapsed="false">
      <c r="A42" s="12" t="s">
        <v>1926</v>
      </c>
      <c r="B42" s="8" t="s">
        <v>323</v>
      </c>
      <c r="C42" s="34"/>
      <c r="D42" s="34"/>
      <c r="E42" s="34"/>
      <c r="F42" s="34"/>
      <c r="G42" s="34"/>
      <c r="H42" s="34"/>
      <c r="I42" s="34"/>
      <c r="J42" s="34"/>
    </row>
    <row r="43" customFormat="false" ht="15" hidden="false" customHeight="false" outlineLevel="0" collapsed="false">
      <c r="A43" s="12" t="s">
        <v>1927</v>
      </c>
      <c r="B43" s="8" t="s">
        <v>323</v>
      </c>
      <c r="C43" s="34"/>
      <c r="D43" s="34"/>
      <c r="E43" s="34"/>
      <c r="F43" s="34"/>
      <c r="G43" s="34"/>
      <c r="H43" s="34"/>
      <c r="I43" s="34"/>
      <c r="J43" s="34"/>
    </row>
    <row r="44" customFormat="false" ht="15" hidden="false" customHeight="false" outlineLevel="0" collapsed="false">
      <c r="A44" s="12" t="s">
        <v>1928</v>
      </c>
      <c r="B44" s="8" t="s">
        <v>120</v>
      </c>
      <c r="C44" s="34"/>
      <c r="D44" s="34"/>
      <c r="E44" s="34"/>
      <c r="F44" s="34"/>
      <c r="G44" s="34"/>
      <c r="H44" s="34"/>
      <c r="I44" s="34"/>
      <c r="J44" s="34"/>
    </row>
    <row r="45" customFormat="false" ht="15" hidden="false" customHeight="false" outlineLevel="0" collapsed="false">
      <c r="A45" s="12" t="s">
        <v>1929</v>
      </c>
      <c r="B45" s="8"/>
      <c r="C45" s="34"/>
      <c r="D45" s="34"/>
      <c r="E45" s="34"/>
      <c r="F45" s="34"/>
      <c r="G45" s="34"/>
      <c r="H45" s="34"/>
      <c r="I45" s="34"/>
      <c r="J45" s="34"/>
    </row>
    <row r="46" customFormat="false" ht="15" hidden="false" customHeight="false" outlineLevel="0" collapsed="false">
      <c r="A46" s="12" t="s">
        <v>1930</v>
      </c>
      <c r="B46" s="8" t="s">
        <v>112</v>
      </c>
      <c r="C46" s="31"/>
      <c r="D46" s="31"/>
      <c r="E46" s="31"/>
      <c r="F46" s="31"/>
      <c r="G46" s="31"/>
      <c r="H46" s="31"/>
      <c r="I46" s="31"/>
      <c r="J46" s="31"/>
    </row>
    <row r="47" customFormat="false" ht="15" hidden="false" customHeight="false" outlineLevel="0" collapsed="false">
      <c r="A47" s="12" t="s">
        <v>1931</v>
      </c>
      <c r="B47" s="8" t="s">
        <v>75</v>
      </c>
      <c r="C47" s="31"/>
      <c r="D47" s="31"/>
      <c r="E47" s="31"/>
      <c r="F47" s="31"/>
      <c r="G47" s="31"/>
      <c r="H47" s="31"/>
      <c r="I47" s="31"/>
      <c r="J47" s="31"/>
    </row>
    <row r="48" customFormat="false" ht="15" hidden="false" customHeight="false" outlineLevel="0" collapsed="false">
      <c r="A48" s="12" t="s">
        <v>1932</v>
      </c>
      <c r="B48" s="8" t="s">
        <v>78</v>
      </c>
      <c r="C48" s="31"/>
      <c r="D48" s="31"/>
      <c r="E48" s="31"/>
      <c r="F48" s="31"/>
      <c r="G48" s="31"/>
      <c r="H48" s="31"/>
      <c r="I48" s="31"/>
      <c r="J48" s="31"/>
    </row>
    <row r="49" customFormat="false" ht="15" hidden="false" customHeight="false" outlineLevel="0" collapsed="false">
      <c r="A49" s="12" t="s">
        <v>1933</v>
      </c>
      <c r="B49" s="8" t="s">
        <v>78</v>
      </c>
      <c r="C49" s="31"/>
      <c r="D49" s="31"/>
      <c r="E49" s="31"/>
      <c r="F49" s="31"/>
      <c r="G49" s="31"/>
      <c r="H49" s="31"/>
      <c r="I49" s="31"/>
      <c r="J49" s="31"/>
    </row>
    <row r="50" customFormat="false" ht="15" hidden="false" customHeight="false" outlineLevel="0" collapsed="false">
      <c r="A50" s="12" t="s">
        <v>1934</v>
      </c>
      <c r="B50" s="8" t="s">
        <v>75</v>
      </c>
      <c r="C50" s="13"/>
      <c r="D50" s="13"/>
      <c r="E50" s="13"/>
      <c r="F50" s="13"/>
      <c r="G50" s="13"/>
      <c r="H50" s="13"/>
      <c r="I50" s="13"/>
      <c r="J50" s="13"/>
    </row>
    <row r="51" customFormat="false" ht="15" hidden="false" customHeight="false" outlineLevel="0" collapsed="false">
      <c r="A51" s="12" t="inlineStr">
        <is>
          <t xml:space="preserve">Independent review rating at Gate 2</t>
        </is>
      </c>
      <c r="B51" s="8" t="inlineStr">
        <is>
          <t xml:space="preserve">W1 Gate Log</t>
        </is>
      </c>
      <c r="C51" s="13"/>
      <c r="D51" s="13"/>
      <c r="E51" s="13"/>
      <c r="F51" s="13"/>
      <c r="G51" s="13"/>
      <c r="H51" s="13"/>
      <c r="I51" s="13"/>
      <c r="J51" s="13"/>
    </row>
    <row r="52" customFormat="false" ht="15" hidden="false" customHeight="false" outlineLevel="0" collapsed="false">
      <c r="A52" s="12" t="inlineStr">
        <is>
          <t xml:space="preserve">Independent review rating at Gate 4</t>
        </is>
      </c>
      <c r="B52" s="8" t="inlineStr">
        <is>
          <t xml:space="preserve">W1 Gate Log</t>
        </is>
      </c>
      <c r="C52" s="13"/>
      <c r="D52" s="13"/>
      <c r="E52" s="13"/>
      <c r="F52" s="13"/>
      <c r="G52" s="13"/>
      <c r="H52" s="13"/>
      <c r="I52" s="13"/>
      <c r="J52" s="13"/>
    </row>
    <row r="54" customFormat="false" ht="15" hidden="false" customHeight="false" outlineLevel="0" collapsed="false">
      <c r="A54" s="12" t="s">
        <v>1935</v>
      </c>
      <c r="C54" s="13"/>
      <c r="D54" s="13"/>
      <c r="E54" s="13"/>
      <c r="F54" s="13"/>
      <c r="G54" s="13"/>
      <c r="H54" s="13"/>
      <c r="I54" s="13"/>
      <c r="J54" s="13"/>
    </row>
  </sheetData>
  <dataValidations count="1">
    <dataValidation type="date" operator="greaterThanOrEqual" allowBlank="true" showDropDown="false" showInputMessage="true" showErrorMessage="true" errorTitle="Enter a date" error="Enter a real date (yyyy-mm-dd), not text." sqref="C13:J13">
      <formula1>1</formula1>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P4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8" topLeftCell="C9" activePane="bottomRight" state="frozen"/>
      <selection pane="topLeft" activeCell="A1" activeCellId="0" sqref="A1"/>
      <selection pane="topRight" activeCell="C1" activeCellId="0" sqref="C1"/>
      <selection pane="bottomLeft" activeCell="A9" activeCellId="0" sqref="A9"/>
      <selection pane="bottomRight" activeCell="A1" activeCellId="0" sqref="A1"/>
    </sheetView>
  </sheetViews>
  <sheetFormatPr defaultColWidth="8.6796875" defaultRowHeight="15" zeroHeight="false" outlineLevelRow="0" outlineLevelCol="0"/>
  <cols>
    <col collapsed="false" customWidth="true" hidden="false" outlineLevel="0" max="1" min="1" style="0" width="34"/>
    <col collapsed="false" customWidth="true" hidden="false" outlineLevel="0" max="2" min="2" style="0" width="14"/>
    <col collapsed="false" customWidth="true" hidden="false" outlineLevel="0" max="3" min="3" style="0" width="11"/>
    <col collapsed="false" customWidth="true" hidden="false" outlineLevel="0" max="4" min="4" style="0" width="10"/>
    <col collapsed="false" customWidth="true" hidden="false" outlineLevel="0" max="5" min="5" style="0" width="11"/>
    <col collapsed="false" customWidth="true" hidden="false" outlineLevel="0" max="7" min="6" style="0" width="10"/>
    <col collapsed="false" customWidth="true" hidden="false" outlineLevel="0" max="8" min="8" style="0" width="11"/>
    <col collapsed="false" customWidth="true" hidden="false" outlineLevel="0" max="10" min="9" style="0" width="10"/>
    <col collapsed="false" customWidth="true" hidden="false" outlineLevel="0" max="11" min="11" style="0" width="13"/>
    <col collapsed="false" customWidth="true" hidden="false" outlineLevel="0" max="12" min="12" style="0" width="11"/>
    <col collapsed="false" customWidth="true" hidden="false" outlineLevel="0" max="13" min="13" style="0" width="10"/>
    <col collapsed="false" customWidth="true" hidden="false" outlineLevel="0" max="15" min="14" style="0" width="12"/>
    <col collapsed="false" customWidth="true" hidden="false" outlineLevel="0" max="16" min="16" style="0" width="20"/>
  </cols>
  <sheetData>
    <row r="1" customFormat="false" ht="17.35" hidden="false" customHeight="false" outlineLevel="0" collapsed="false">
      <c r="A1" s="10" t="s">
        <v>1936</v>
      </c>
    </row>
    <row r="2" customFormat="false" ht="15" hidden="false" customHeight="false" outlineLevel="0" collapsed="false">
      <c r="A2" s="11" t="s">
        <v>1937</v>
      </c>
    </row>
    <row r="3" customFormat="false" ht="15" hidden="false" customHeight="false" outlineLevel="0" collapsed="false">
      <c r="A3" s="9" t="s">
        <v>134</v>
      </c>
    </row>
    <row r="5" customFormat="false" ht="22.35" hidden="false" customHeight="false" outlineLevel="0" collapsed="false">
      <c r="A5" s="12" t="s">
        <v>1938</v>
      </c>
      <c r="B5" s="27" t="n">
        <v>0.02</v>
      </c>
    </row>
    <row r="6" customFormat="false" ht="22.35" hidden="false" customHeight="false" outlineLevel="0" collapsed="false">
      <c r="A6" s="12" t="s">
        <v>1939</v>
      </c>
      <c r="B6" s="43" t="n">
        <v>2</v>
      </c>
    </row>
    <row r="8" customFormat="false" ht="30" hidden="false" customHeight="true" outlineLevel="0" collapsed="false">
      <c r="A8" s="6" t="s">
        <v>1940</v>
      </c>
      <c r="B8" s="6" t="s">
        <v>570</v>
      </c>
      <c r="C8" s="6" t="s">
        <v>1941</v>
      </c>
      <c r="D8" s="6" t="s">
        <v>1942</v>
      </c>
      <c r="E8" s="6" t="s">
        <v>1943</v>
      </c>
      <c r="F8" s="6" t="s">
        <v>1944</v>
      </c>
      <c r="G8" s="6" t="s">
        <v>1945</v>
      </c>
      <c r="H8" s="6" t="s">
        <v>1946</v>
      </c>
      <c r="I8" s="6" t="s">
        <v>1947</v>
      </c>
      <c r="J8" s="6" t="s">
        <v>1948</v>
      </c>
      <c r="K8" s="6" t="s">
        <v>1949</v>
      </c>
      <c r="L8" s="6" t="s">
        <v>1950</v>
      </c>
      <c r="M8" s="6" t="s">
        <v>1951</v>
      </c>
      <c r="N8" s="6" t="s">
        <v>1952</v>
      </c>
      <c r="O8" s="6" t="s">
        <v>1953</v>
      </c>
      <c r="P8" s="6" t="s">
        <v>196</v>
      </c>
    </row>
    <row r="9" customFormat="false" ht="15" hidden="false" customHeight="false" outlineLevel="0" collapsed="false">
      <c r="A9" s="12" t="s">
        <v>1954</v>
      </c>
      <c r="B9" s="13"/>
      <c r="C9" s="54"/>
      <c r="D9" s="28"/>
      <c r="E9" s="28"/>
      <c r="F9" s="48" t="str">
        <f aca="false">IF(OR(D9="",D9=0),"",E9/D9)</f>
        <v/>
      </c>
      <c r="G9" s="28"/>
      <c r="H9" s="28"/>
      <c r="I9" s="48" t="str">
        <f aca="false">IF(OR(G9="",G9=0),"",H9/G9)</f>
        <v/>
      </c>
      <c r="J9" s="27"/>
      <c r="K9" s="13"/>
      <c r="L9" s="28"/>
      <c r="M9" s="40"/>
      <c r="N9" s="13"/>
      <c r="O9" s="13"/>
      <c r="P9" s="17" t="str">
        <f aca="false">IF(OR(K9="",L9="",M9="",N9=""),"",IF(OR(L9&gt;0,AND(ISNUMBER(I9),I9&gt;$B$5),M9&gt;$B$6,O9="N"),"PAUSE: Protocol 10.6",IF(OR(NOT(ISNUMBER(I9)),N9&lt;&gt;"Y"),"HOLD: Gate 5 criteria (audit or notice) not met",IF(AND(K9="N",O9=""),"WATCH: recheck next cycle","CONTINUE"))))</f>
        <v/>
      </c>
    </row>
    <row r="10" customFormat="false" ht="15" hidden="false" customHeight="false" outlineLevel="0" collapsed="false">
      <c r="A10" s="12" t="s">
        <v>1955</v>
      </c>
      <c r="B10" s="13"/>
      <c r="C10" s="54"/>
      <c r="D10" s="28"/>
      <c r="E10" s="28"/>
      <c r="F10" s="48" t="str">
        <f aca="false">IF(OR(D10="",D10=0),"",E10/D10)</f>
        <v/>
      </c>
      <c r="G10" s="28"/>
      <c r="H10" s="28"/>
      <c r="I10" s="48" t="str">
        <f aca="false">IF(OR(G10="",G10=0),"",H10/G10)</f>
        <v/>
      </c>
      <c r="J10" s="27"/>
      <c r="K10" s="13"/>
      <c r="L10" s="28"/>
      <c r="M10" s="40"/>
      <c r="N10" s="13"/>
      <c r="O10" s="13"/>
      <c r="P10" s="17" t="str">
        <f aca="false">IF(OR(K10="",L10="",M10="",N10=""),"",IF(OR(L10&gt;0,AND(ISNUMBER(I10),I10&gt;$B$5),M10&gt;$B$6,O10="N"),"PAUSE: Protocol 10.6",IF(OR(NOT(ISNUMBER(I10)),N10&lt;&gt;"Y"),"HOLD: Gate 5 criteria (audit or notice) not met",IF(AND(K10="N",O10=""),"WATCH: recheck next cycle","CONTINUE"))))</f>
        <v/>
      </c>
    </row>
    <row r="11" customFormat="false" ht="15" hidden="false" customHeight="false" outlineLevel="0" collapsed="false">
      <c r="A11" s="12" t="s">
        <v>1956</v>
      </c>
      <c r="B11" s="13"/>
      <c r="C11" s="54"/>
      <c r="D11" s="28"/>
      <c r="E11" s="28"/>
      <c r="F11" s="48" t="str">
        <f aca="false">IF(OR(D11="",D11=0),"",E11/D11)</f>
        <v/>
      </c>
      <c r="G11" s="28"/>
      <c r="H11" s="28"/>
      <c r="I11" s="48" t="str">
        <f aca="false">IF(OR(G11="",G11=0),"",H11/G11)</f>
        <v/>
      </c>
      <c r="J11" s="27"/>
      <c r="K11" s="13"/>
      <c r="L11" s="28"/>
      <c r="M11" s="40"/>
      <c r="N11" s="13"/>
      <c r="O11" s="13"/>
      <c r="P11" s="17" t="str">
        <f aca="false">IF(OR(K11="",L11="",M11="",N11=""),"",IF(OR(L11&gt;0,AND(ISNUMBER(I11),I11&gt;$B$5),M11&gt;$B$6,O11="N"),"PAUSE: Protocol 10.6",IF(OR(NOT(ISNUMBER(I11)),N11&lt;&gt;"Y"),"HOLD: Gate 5 criteria (audit or notice) not met",IF(AND(K11="N",O11=""),"WATCH: recheck next cycle","CONTINUE"))))</f>
        <v/>
      </c>
    </row>
    <row r="12" customFormat="false" ht="15" hidden="false" customHeight="false" outlineLevel="0" collapsed="false">
      <c r="A12" s="12" t="s">
        <v>1957</v>
      </c>
      <c r="B12" s="13"/>
      <c r="C12" s="54"/>
      <c r="D12" s="28"/>
      <c r="E12" s="28"/>
      <c r="F12" s="48" t="str">
        <f aca="false">IF(OR(D12="",D12=0),"",E12/D12)</f>
        <v/>
      </c>
      <c r="G12" s="28"/>
      <c r="H12" s="28"/>
      <c r="I12" s="48" t="str">
        <f aca="false">IF(OR(G12="",G12=0),"",H12/G12)</f>
        <v/>
      </c>
      <c r="J12" s="27"/>
      <c r="K12" s="13"/>
      <c r="L12" s="28"/>
      <c r="M12" s="40"/>
      <c r="N12" s="13"/>
      <c r="O12" s="13"/>
      <c r="P12" s="17" t="str">
        <f aca="false">IF(OR(K12="",L12="",M12="",N12=""),"",IF(OR(L12&gt;0,AND(ISNUMBER(I12),I12&gt;$B$5),M12&gt;$B$6,O12="N"),"PAUSE: Protocol 10.6",IF(OR(NOT(ISNUMBER(I12)),N12&lt;&gt;"Y"),"HOLD: Gate 5 criteria (audit or notice) not met",IF(AND(K12="N",O12=""),"WATCH: recheck next cycle","CONTINUE"))))</f>
        <v/>
      </c>
    </row>
    <row r="13" customFormat="false" ht="15" hidden="false" customHeight="false" outlineLevel="0" collapsed="false">
      <c r="A13" s="12" t="s">
        <v>1958</v>
      </c>
      <c r="B13" s="13"/>
      <c r="C13" s="54"/>
      <c r="D13" s="28"/>
      <c r="E13" s="28"/>
      <c r="F13" s="48" t="str">
        <f aca="false">IF(OR(D13="",D13=0),"",E13/D13)</f>
        <v/>
      </c>
      <c r="G13" s="28"/>
      <c r="H13" s="28"/>
      <c r="I13" s="48" t="str">
        <f aca="false">IF(OR(G13="",G13=0),"",H13/G13)</f>
        <v/>
      </c>
      <c r="J13" s="27"/>
      <c r="K13" s="13"/>
      <c r="L13" s="28"/>
      <c r="M13" s="40"/>
      <c r="N13" s="13"/>
      <c r="O13" s="13"/>
      <c r="P13" s="17" t="str">
        <f aca="false">IF(OR(K13="",L13="",M13="",N13=""),"",IF(OR(L13&gt;0,AND(ISNUMBER(I13),I13&gt;$B$5),M13&gt;$B$6,O13="N"),"PAUSE: Protocol 10.6",IF(OR(NOT(ISNUMBER(I13)),N13&lt;&gt;"Y"),"HOLD: Gate 5 criteria (audit or notice) not met",IF(AND(K13="N",O13=""),"WATCH: recheck next cycle","CONTINUE"))))</f>
        <v/>
      </c>
    </row>
    <row r="14" customFormat="false" ht="15" hidden="false" customHeight="false" outlineLevel="0" collapsed="false">
      <c r="A14" s="12" t="s">
        <v>1959</v>
      </c>
      <c r="B14" s="13"/>
      <c r="C14" s="54"/>
      <c r="D14" s="28"/>
      <c r="E14" s="28"/>
      <c r="F14" s="48" t="str">
        <f aca="false">IF(OR(D14="",D14=0),"",E14/D14)</f>
        <v/>
      </c>
      <c r="G14" s="28"/>
      <c r="H14" s="28"/>
      <c r="I14" s="48" t="str">
        <f aca="false">IF(OR(G14="",G14=0),"",H14/G14)</f>
        <v/>
      </c>
      <c r="J14" s="27"/>
      <c r="K14" s="13"/>
      <c r="L14" s="28"/>
      <c r="M14" s="40"/>
      <c r="N14" s="13"/>
      <c r="O14" s="13"/>
      <c r="P14" s="17" t="str">
        <f aca="false">IF(OR(K14="",L14="",M14="",N14=""),"",IF(OR(L14&gt;0,AND(ISNUMBER(I14),I14&gt;$B$5),M14&gt;$B$6,O14="N"),"PAUSE: Protocol 10.6",IF(OR(NOT(ISNUMBER(I14)),N14&lt;&gt;"Y"),"HOLD: Gate 5 criteria (audit or notice) not met",IF(AND(K14="N",O14=""),"WATCH: recheck next cycle","CONTINUE"))))</f>
        <v/>
      </c>
    </row>
    <row r="15" customFormat="false" ht="15" hidden="false" customHeight="false" outlineLevel="0" collapsed="false">
      <c r="A15" s="12" t="s">
        <v>1960</v>
      </c>
      <c r="B15" s="13"/>
      <c r="C15" s="54"/>
      <c r="D15" s="28"/>
      <c r="E15" s="28"/>
      <c r="F15" s="48" t="str">
        <f aca="false">IF(OR(D15="",D15=0),"",E15/D15)</f>
        <v/>
      </c>
      <c r="G15" s="28"/>
      <c r="H15" s="28"/>
      <c r="I15" s="48" t="str">
        <f aca="false">IF(OR(G15="",G15=0),"",H15/G15)</f>
        <v/>
      </c>
      <c r="J15" s="27"/>
      <c r="K15" s="13"/>
      <c r="L15" s="28"/>
      <c r="M15" s="40"/>
      <c r="N15" s="13"/>
      <c r="O15" s="13"/>
      <c r="P15" s="17" t="str">
        <f aca="false">IF(OR(K15="",L15="",M15="",N15=""),"",IF(OR(L15&gt;0,AND(ISNUMBER(I15),I15&gt;$B$5),M15&gt;$B$6,O15="N"),"PAUSE: Protocol 10.6",IF(OR(NOT(ISNUMBER(I15)),N15&lt;&gt;"Y"),"HOLD: Gate 5 criteria (audit or notice) not met",IF(AND(K15="N",O15=""),"WATCH: recheck next cycle","CONTINUE"))))</f>
        <v/>
      </c>
    </row>
    <row r="16" customFormat="false" ht="15" hidden="false" customHeight="false" outlineLevel="0" collapsed="false">
      <c r="A16" s="12" t="s">
        <v>1961</v>
      </c>
      <c r="B16" s="13"/>
      <c r="C16" s="54"/>
      <c r="D16" s="28"/>
      <c r="E16" s="28"/>
      <c r="F16" s="48" t="str">
        <f aca="false">IF(OR(D16="",D16=0),"",E16/D16)</f>
        <v/>
      </c>
      <c r="G16" s="28"/>
      <c r="H16" s="28"/>
      <c r="I16" s="48" t="str">
        <f aca="false">IF(OR(G16="",G16=0),"",H16/G16)</f>
        <v/>
      </c>
      <c r="J16" s="27"/>
      <c r="K16" s="13"/>
      <c r="L16" s="28"/>
      <c r="M16" s="40"/>
      <c r="N16" s="13"/>
      <c r="O16" s="13"/>
      <c r="P16" s="17" t="str">
        <f aca="false">IF(OR(K16="",L16="",M16="",N16=""),"",IF(OR(L16&gt;0,AND(ISNUMBER(I16),I16&gt;$B$5),M16&gt;$B$6,O16="N"),"PAUSE: Protocol 10.6",IF(OR(NOT(ISNUMBER(I16)),N16&lt;&gt;"Y"),"HOLD: Gate 5 criteria (audit or notice) not met",IF(AND(K16="N",O16=""),"WATCH: recheck next cycle","CONTINUE"))))</f>
        <v/>
      </c>
    </row>
    <row r="17" customFormat="false" ht="15" hidden="false" customHeight="false" outlineLevel="0" collapsed="false">
      <c r="A17" s="12" t="s">
        <v>1962</v>
      </c>
      <c r="B17" s="13"/>
      <c r="C17" s="54"/>
      <c r="D17" s="28"/>
      <c r="E17" s="28"/>
      <c r="F17" s="48" t="str">
        <f aca="false">IF(OR(D17="",D17=0),"",E17/D17)</f>
        <v/>
      </c>
      <c r="G17" s="28"/>
      <c r="H17" s="28"/>
      <c r="I17" s="48" t="str">
        <f aca="false">IF(OR(G17="",G17=0),"",H17/G17)</f>
        <v/>
      </c>
      <c r="J17" s="27"/>
      <c r="K17" s="13"/>
      <c r="L17" s="28"/>
      <c r="M17" s="40"/>
      <c r="N17" s="13"/>
      <c r="O17" s="13"/>
      <c r="P17" s="17" t="str">
        <f aca="false">IF(OR(K17="",L17="",M17="",N17=""),"",IF(OR(L17&gt;0,AND(ISNUMBER(I17),I17&gt;$B$5),M17&gt;$B$6,O17="N"),"PAUSE: Protocol 10.6",IF(OR(NOT(ISNUMBER(I17)),N17&lt;&gt;"Y"),"HOLD: Gate 5 criteria (audit or notice) not met",IF(AND(K17="N",O17=""),"WATCH: recheck next cycle","CONTINUE"))))</f>
        <v/>
      </c>
    </row>
    <row r="18" customFormat="false" ht="15" hidden="false" customHeight="false" outlineLevel="0" collapsed="false">
      <c r="A18" s="12" t="s">
        <v>1963</v>
      </c>
      <c r="B18" s="13"/>
      <c r="C18" s="54"/>
      <c r="D18" s="28"/>
      <c r="E18" s="28"/>
      <c r="F18" s="48" t="str">
        <f aca="false">IF(OR(D18="",D18=0),"",E18/D18)</f>
        <v/>
      </c>
      <c r="G18" s="28"/>
      <c r="H18" s="28"/>
      <c r="I18" s="48" t="str">
        <f aca="false">IF(OR(G18="",G18=0),"",H18/G18)</f>
        <v/>
      </c>
      <c r="J18" s="27"/>
      <c r="K18" s="13"/>
      <c r="L18" s="28"/>
      <c r="M18" s="40"/>
      <c r="N18" s="13"/>
      <c r="O18" s="13"/>
      <c r="P18" s="17" t="str">
        <f aca="false">IF(OR(K18="",L18="",M18="",N18=""),"",IF(OR(L18&gt;0,AND(ISNUMBER(I18),I18&gt;$B$5),M18&gt;$B$6,O18="N"),"PAUSE: Protocol 10.6",IF(OR(NOT(ISNUMBER(I18)),N18&lt;&gt;"Y"),"HOLD: Gate 5 criteria (audit or notice) not met",IF(AND(K18="N",O18=""),"WATCH: recheck next cycle","CONTINUE"))))</f>
        <v/>
      </c>
    </row>
    <row r="19" customFormat="false" ht="15" hidden="false" customHeight="false" outlineLevel="0" collapsed="false">
      <c r="A19" s="12" t="s">
        <v>1964</v>
      </c>
      <c r="B19" s="13"/>
      <c r="C19" s="54"/>
      <c r="D19" s="28"/>
      <c r="E19" s="28"/>
      <c r="F19" s="48" t="str">
        <f aca="false">IF(OR(D19="",D19=0),"",E19/D19)</f>
        <v/>
      </c>
      <c r="G19" s="28"/>
      <c r="H19" s="28"/>
      <c r="I19" s="48" t="str">
        <f aca="false">IF(OR(G19="",G19=0),"",H19/G19)</f>
        <v/>
      </c>
      <c r="J19" s="27"/>
      <c r="K19" s="13"/>
      <c r="L19" s="28"/>
      <c r="M19" s="40"/>
      <c r="N19" s="13"/>
      <c r="O19" s="13"/>
      <c r="P19" s="17" t="str">
        <f aca="false">IF(OR(K19="",L19="",M19="",N19=""),"",IF(OR(L19&gt;0,AND(ISNUMBER(I19),I19&gt;$B$5),M19&gt;$B$6,O19="N"),"PAUSE: Protocol 10.6",IF(OR(NOT(ISNUMBER(I19)),N19&lt;&gt;"Y"),"HOLD: Gate 5 criteria (audit or notice) not met",IF(AND(K19="N",O19=""),"WATCH: recheck next cycle","CONTINUE"))))</f>
        <v/>
      </c>
    </row>
    <row r="20" customFormat="false" ht="15" hidden="false" customHeight="false" outlineLevel="0" collapsed="false">
      <c r="A20" s="12" t="s">
        <v>1965</v>
      </c>
      <c r="B20" s="13"/>
      <c r="C20" s="54"/>
      <c r="D20" s="28"/>
      <c r="E20" s="28"/>
      <c r="F20" s="48" t="str">
        <f aca="false">IF(OR(D20="",D20=0),"",E20/D20)</f>
        <v/>
      </c>
      <c r="G20" s="28"/>
      <c r="H20" s="28"/>
      <c r="I20" s="48" t="str">
        <f aca="false">IF(OR(G20="",G20=0),"",H20/G20)</f>
        <v/>
      </c>
      <c r="J20" s="27"/>
      <c r="K20" s="13"/>
      <c r="L20" s="28"/>
      <c r="M20" s="40"/>
      <c r="N20" s="13"/>
      <c r="O20" s="13"/>
      <c r="P20" s="17" t="str">
        <f aca="false">IF(OR(K20="",L20="",M20="",N20=""),"",IF(OR(L20&gt;0,AND(ISNUMBER(I20),I20&gt;$B$5),M20&gt;$B$6,O20="N"),"PAUSE: Protocol 10.6",IF(OR(NOT(ISNUMBER(I20)),N20&lt;&gt;"Y"),"HOLD: Gate 5 criteria (audit or notice) not met",IF(AND(K20="N",O20=""),"WATCH: recheck next cycle","CONTINUE"))))</f>
        <v/>
      </c>
    </row>
    <row r="21" customFormat="false" ht="15" hidden="false" customHeight="false" outlineLevel="0" collapsed="false">
      <c r="A21" s="12" t="s">
        <v>1966</v>
      </c>
      <c r="B21" s="13"/>
      <c r="C21" s="54"/>
      <c r="D21" s="28"/>
      <c r="E21" s="28"/>
      <c r="F21" s="48" t="str">
        <f aca="false">IF(OR(D21="",D21=0),"",E21/D21)</f>
        <v/>
      </c>
      <c r="G21" s="28"/>
      <c r="H21" s="28"/>
      <c r="I21" s="48" t="str">
        <f aca="false">IF(OR(G21="",G21=0),"",H21/G21)</f>
        <v/>
      </c>
      <c r="J21" s="27"/>
      <c r="K21" s="13"/>
      <c r="L21" s="28"/>
      <c r="M21" s="40"/>
      <c r="N21" s="13"/>
      <c r="O21" s="13"/>
      <c r="P21" s="17" t="str">
        <f aca="false">IF(OR(K21="",L21="",M21="",N21=""),"",IF(OR(L21&gt;0,AND(ISNUMBER(I21),I21&gt;$B$5),M21&gt;$B$6,O21="N"),"PAUSE: Protocol 10.6",IF(OR(NOT(ISNUMBER(I21)),N21&lt;&gt;"Y"),"HOLD: Gate 5 criteria (audit or notice) not met",IF(AND(K21="N",O21=""),"WATCH: recheck next cycle","CONTINUE"))))</f>
        <v/>
      </c>
    </row>
    <row r="22" customFormat="false" ht="15" hidden="false" customHeight="false" outlineLevel="0" collapsed="false">
      <c r="A22" s="12" t="s">
        <v>1967</v>
      </c>
      <c r="B22" s="13"/>
      <c r="C22" s="54"/>
      <c r="D22" s="28"/>
      <c r="E22" s="28"/>
      <c r="F22" s="48" t="str">
        <f aca="false">IF(OR(D22="",D22=0),"",E22/D22)</f>
        <v/>
      </c>
      <c r="G22" s="28"/>
      <c r="H22" s="28"/>
      <c r="I22" s="48" t="str">
        <f aca="false">IF(OR(G22="",G22=0),"",H22/G22)</f>
        <v/>
      </c>
      <c r="J22" s="27"/>
      <c r="K22" s="13"/>
      <c r="L22" s="28"/>
      <c r="M22" s="40"/>
      <c r="N22" s="13"/>
      <c r="O22" s="13"/>
      <c r="P22" s="17" t="str">
        <f aca="false">IF(OR(K22="",L22="",M22="",N22=""),"",IF(OR(L22&gt;0,AND(ISNUMBER(I22),I22&gt;$B$5),M22&gt;$B$6,O22="N"),"PAUSE: Protocol 10.6",IF(OR(NOT(ISNUMBER(I22)),N22&lt;&gt;"Y"),"HOLD: Gate 5 criteria (audit or notice) not met",IF(AND(K22="N",O22=""),"WATCH: recheck next cycle","CONTINUE"))))</f>
        <v/>
      </c>
    </row>
    <row r="23" customFormat="false" ht="15" hidden="false" customHeight="false" outlineLevel="0" collapsed="false">
      <c r="A23" s="12" t="s">
        <v>1968</v>
      </c>
      <c r="B23" s="13"/>
      <c r="C23" s="54"/>
      <c r="D23" s="28"/>
      <c r="E23" s="28"/>
      <c r="F23" s="48" t="str">
        <f aca="false">IF(OR(D23="",D23=0),"",E23/D23)</f>
        <v/>
      </c>
      <c r="G23" s="28"/>
      <c r="H23" s="28"/>
      <c r="I23" s="48" t="str">
        <f aca="false">IF(OR(G23="",G23=0),"",H23/G23)</f>
        <v/>
      </c>
      <c r="J23" s="27"/>
      <c r="K23" s="13"/>
      <c r="L23" s="28"/>
      <c r="M23" s="40"/>
      <c r="N23" s="13"/>
      <c r="O23" s="13"/>
      <c r="P23" s="17" t="str">
        <f aca="false">IF(OR(K23="",L23="",M23="",N23=""),"",IF(OR(L23&gt;0,AND(ISNUMBER(I23),I23&gt;$B$5),M23&gt;$B$6,O23="N"),"PAUSE: Protocol 10.6",IF(OR(NOT(ISNUMBER(I23)),N23&lt;&gt;"Y"),"HOLD: Gate 5 criteria (audit or notice) not met",IF(AND(K23="N",O23=""),"WATCH: recheck next cycle","CONTINUE"))))</f>
        <v/>
      </c>
    </row>
    <row r="24" customFormat="false" ht="15" hidden="false" customHeight="false" outlineLevel="0" collapsed="false">
      <c r="A24" s="12" t="s">
        <v>1969</v>
      </c>
      <c r="B24" s="13"/>
      <c r="C24" s="54"/>
      <c r="D24" s="28"/>
      <c r="E24" s="28"/>
      <c r="F24" s="48" t="str">
        <f aca="false">IF(OR(D24="",D24=0),"",E24/D24)</f>
        <v/>
      </c>
      <c r="G24" s="28"/>
      <c r="H24" s="28"/>
      <c r="I24" s="48" t="str">
        <f aca="false">IF(OR(G24="",G24=0),"",H24/G24)</f>
        <v/>
      </c>
      <c r="J24" s="27"/>
      <c r="K24" s="13"/>
      <c r="L24" s="28"/>
      <c r="M24" s="40"/>
      <c r="N24" s="13"/>
      <c r="O24" s="13"/>
      <c r="P24" s="17" t="str">
        <f aca="false">IF(OR(K24="",L24="",M24="",N24=""),"",IF(OR(L24&gt;0,AND(ISNUMBER(I24),I24&gt;$B$5),M24&gt;$B$6,O24="N"),"PAUSE: Protocol 10.6",IF(OR(NOT(ISNUMBER(I24)),N24&lt;&gt;"Y"),"HOLD: Gate 5 criteria (audit or notice) not met",IF(AND(K24="N",O24=""),"WATCH: recheck next cycle","CONTINUE"))))</f>
        <v/>
      </c>
    </row>
    <row r="25" customFormat="false" ht="15" hidden="false" customHeight="false" outlineLevel="0" collapsed="false">
      <c r="A25" s="12" t="s">
        <v>1970</v>
      </c>
      <c r="B25" s="13"/>
      <c r="C25" s="54"/>
      <c r="D25" s="28"/>
      <c r="E25" s="28"/>
      <c r="F25" s="48" t="str">
        <f aca="false">IF(OR(D25="",D25=0),"",E25/D25)</f>
        <v/>
      </c>
      <c r="G25" s="28"/>
      <c r="H25" s="28"/>
      <c r="I25" s="48" t="str">
        <f aca="false">IF(OR(G25="",G25=0),"",H25/G25)</f>
        <v/>
      </c>
      <c r="J25" s="27"/>
      <c r="K25" s="13"/>
      <c r="L25" s="28"/>
      <c r="M25" s="40"/>
      <c r="N25" s="13"/>
      <c r="O25" s="13"/>
      <c r="P25" s="17" t="str">
        <f aca="false">IF(OR(K25="",L25="",M25="",N25=""),"",IF(OR(L25&gt;0,AND(ISNUMBER(I25),I25&gt;$B$5),M25&gt;$B$6,O25="N"),"PAUSE: Protocol 10.6",IF(OR(NOT(ISNUMBER(I25)),N25&lt;&gt;"Y"),"HOLD: Gate 5 criteria (audit or notice) not met",IF(AND(K25="N",O25=""),"WATCH: recheck next cycle","CONTINUE"))))</f>
        <v/>
      </c>
    </row>
    <row r="26" customFormat="false" ht="15" hidden="false" customHeight="false" outlineLevel="0" collapsed="false">
      <c r="A26" s="12" t="s">
        <v>1971</v>
      </c>
      <c r="B26" s="13"/>
      <c r="C26" s="54"/>
      <c r="D26" s="28"/>
      <c r="E26" s="28"/>
      <c r="F26" s="48" t="str">
        <f aca="false">IF(OR(D26="",D26=0),"",E26/D26)</f>
        <v/>
      </c>
      <c r="G26" s="28"/>
      <c r="H26" s="28"/>
      <c r="I26" s="48" t="str">
        <f aca="false">IF(OR(G26="",G26=0),"",H26/G26)</f>
        <v/>
      </c>
      <c r="J26" s="27"/>
      <c r="K26" s="13"/>
      <c r="L26" s="28"/>
      <c r="M26" s="40"/>
      <c r="N26" s="13"/>
      <c r="O26" s="13"/>
      <c r="P26" s="17" t="str">
        <f aca="false">IF(OR(K26="",L26="",M26="",N26=""),"",IF(OR(L26&gt;0,AND(ISNUMBER(I26),I26&gt;$B$5),M26&gt;$B$6,O26="N"),"PAUSE: Protocol 10.6",IF(OR(NOT(ISNUMBER(I26)),N26&lt;&gt;"Y"),"HOLD: Gate 5 criteria (audit or notice) not met",IF(AND(K26="N",O26=""),"WATCH: recheck next cycle","CONTINUE"))))</f>
        <v/>
      </c>
    </row>
    <row r="27" customFormat="false" ht="15" hidden="false" customHeight="false" outlineLevel="0" collapsed="false">
      <c r="A27" s="12" t="s">
        <v>1972</v>
      </c>
      <c r="B27" s="13"/>
      <c r="C27" s="54"/>
      <c r="D27" s="28"/>
      <c r="E27" s="28"/>
      <c r="F27" s="48" t="str">
        <f aca="false">IF(OR(D27="",D27=0),"",E27/D27)</f>
        <v/>
      </c>
      <c r="G27" s="28"/>
      <c r="H27" s="28"/>
      <c r="I27" s="48" t="str">
        <f aca="false">IF(OR(G27="",G27=0),"",H27/G27)</f>
        <v/>
      </c>
      <c r="J27" s="27"/>
      <c r="K27" s="13"/>
      <c r="L27" s="28"/>
      <c r="M27" s="40"/>
      <c r="N27" s="13"/>
      <c r="O27" s="13"/>
      <c r="P27" s="17" t="str">
        <f aca="false">IF(OR(K27="",L27="",M27="",N27=""),"",IF(OR(L27&gt;0,AND(ISNUMBER(I27),I27&gt;$B$5),M27&gt;$B$6,O27="N"),"PAUSE: Protocol 10.6",IF(OR(NOT(ISNUMBER(I27)),N27&lt;&gt;"Y"),"HOLD: Gate 5 criteria (audit or notice) not met",IF(AND(K27="N",O27=""),"WATCH: recheck next cycle","CONTINUE"))))</f>
        <v/>
      </c>
    </row>
    <row r="28" customFormat="false" ht="15" hidden="false" customHeight="false" outlineLevel="0" collapsed="false">
      <c r="A28" s="12" t="s">
        <v>1973</v>
      </c>
      <c r="B28" s="13"/>
      <c r="C28" s="54"/>
      <c r="D28" s="28"/>
      <c r="E28" s="28"/>
      <c r="F28" s="48" t="str">
        <f aca="false">IF(OR(D28="",D28=0),"",E28/D28)</f>
        <v/>
      </c>
      <c r="G28" s="28"/>
      <c r="H28" s="28"/>
      <c r="I28" s="48" t="str">
        <f aca="false">IF(OR(G28="",G28=0),"",H28/G28)</f>
        <v/>
      </c>
      <c r="J28" s="27"/>
      <c r="K28" s="13"/>
      <c r="L28" s="28"/>
      <c r="M28" s="40"/>
      <c r="N28" s="13"/>
      <c r="O28" s="13"/>
      <c r="P28" s="17" t="str">
        <f aca="false">IF(OR(K28="",L28="",M28="",N28=""),"",IF(OR(L28&gt;0,AND(ISNUMBER(I28),I28&gt;$B$5),M28&gt;$B$6,O28="N"),"PAUSE: Protocol 10.6",IF(OR(NOT(ISNUMBER(I28)),N28&lt;&gt;"Y"),"HOLD: Gate 5 criteria (audit or notice) not met",IF(AND(K28="N",O28=""),"WATCH: recheck next cycle","CONTINUE"))))</f>
        <v/>
      </c>
    </row>
    <row r="29" customFormat="false" ht="15" hidden="false" customHeight="false" outlineLevel="0" collapsed="false">
      <c r="A29" s="12" t="s">
        <v>1974</v>
      </c>
      <c r="B29" s="13"/>
      <c r="C29" s="54"/>
      <c r="D29" s="28"/>
      <c r="E29" s="28"/>
      <c r="F29" s="48" t="str">
        <f aca="false">IF(OR(D29="",D29=0),"",E29/D29)</f>
        <v/>
      </c>
      <c r="G29" s="28"/>
      <c r="H29" s="28"/>
      <c r="I29" s="48" t="str">
        <f aca="false">IF(OR(G29="",G29=0),"",H29/G29)</f>
        <v/>
      </c>
      <c r="J29" s="27"/>
      <c r="K29" s="13"/>
      <c r="L29" s="28"/>
      <c r="M29" s="40"/>
      <c r="N29" s="13"/>
      <c r="O29" s="13"/>
      <c r="P29" s="17" t="str">
        <f aca="false">IF(OR(K29="",L29="",M29="",N29=""),"",IF(OR(L29&gt;0,AND(ISNUMBER(I29),I29&gt;$B$5),M29&gt;$B$6,O29="N"),"PAUSE: Protocol 10.6",IF(OR(NOT(ISNUMBER(I29)),N29&lt;&gt;"Y"),"HOLD: Gate 5 criteria (audit or notice) not met",IF(AND(K29="N",O29=""),"WATCH: recheck next cycle","CONTINUE"))))</f>
        <v/>
      </c>
    </row>
    <row r="30" customFormat="false" ht="15" hidden="false" customHeight="false" outlineLevel="0" collapsed="false">
      <c r="A30" s="12" t="s">
        <v>1975</v>
      </c>
      <c r="B30" s="13"/>
      <c r="C30" s="54"/>
      <c r="D30" s="28"/>
      <c r="E30" s="28"/>
      <c r="F30" s="48" t="str">
        <f aca="false">IF(OR(D30="",D30=0),"",E30/D30)</f>
        <v/>
      </c>
      <c r="G30" s="28"/>
      <c r="H30" s="28"/>
      <c r="I30" s="48" t="str">
        <f aca="false">IF(OR(G30="",G30=0),"",H30/G30)</f>
        <v/>
      </c>
      <c r="J30" s="27"/>
      <c r="K30" s="13"/>
      <c r="L30" s="28"/>
      <c r="M30" s="40"/>
      <c r="N30" s="13"/>
      <c r="O30" s="13"/>
      <c r="P30" s="17" t="str">
        <f aca="false">IF(OR(K30="",L30="",M30="",N30=""),"",IF(OR(L30&gt;0,AND(ISNUMBER(I30),I30&gt;$B$5),M30&gt;$B$6,O30="N"),"PAUSE: Protocol 10.6",IF(OR(NOT(ISNUMBER(I30)),N30&lt;&gt;"Y"),"HOLD: Gate 5 criteria (audit or notice) not met",IF(AND(K30="N",O30=""),"WATCH: recheck next cycle","CONTINUE"))))</f>
        <v/>
      </c>
    </row>
    <row r="31" customFormat="false" ht="15" hidden="false" customHeight="false" outlineLevel="0" collapsed="false">
      <c r="A31" s="12" t="s">
        <v>1976</v>
      </c>
      <c r="B31" s="13"/>
      <c r="C31" s="54"/>
      <c r="D31" s="28"/>
      <c r="E31" s="28"/>
      <c r="F31" s="48" t="str">
        <f aca="false">IF(OR(D31="",D31=0),"",E31/D31)</f>
        <v/>
      </c>
      <c r="G31" s="28"/>
      <c r="H31" s="28"/>
      <c r="I31" s="48" t="str">
        <f aca="false">IF(OR(G31="",G31=0),"",H31/G31)</f>
        <v/>
      </c>
      <c r="J31" s="27"/>
      <c r="K31" s="13"/>
      <c r="L31" s="28"/>
      <c r="M31" s="40"/>
      <c r="N31" s="13"/>
      <c r="O31" s="13"/>
      <c r="P31" s="17" t="str">
        <f aca="false">IF(OR(K31="",L31="",M31="",N31=""),"",IF(OR(L31&gt;0,AND(ISNUMBER(I31),I31&gt;$B$5),M31&gt;$B$6,O31="N"),"PAUSE: Protocol 10.6",IF(OR(NOT(ISNUMBER(I31)),N31&lt;&gt;"Y"),"HOLD: Gate 5 criteria (audit or notice) not met",IF(AND(K31="N",O31=""),"WATCH: recheck next cycle","CONTINUE"))))</f>
        <v/>
      </c>
    </row>
    <row r="32" customFormat="false" ht="15" hidden="false" customHeight="false" outlineLevel="0" collapsed="false">
      <c r="A32" s="12" t="s">
        <v>1977</v>
      </c>
      <c r="B32" s="13"/>
      <c r="C32" s="54"/>
      <c r="D32" s="28"/>
      <c r="E32" s="28"/>
      <c r="F32" s="48" t="str">
        <f aca="false">IF(OR(D32="",D32=0),"",E32/D32)</f>
        <v/>
      </c>
      <c r="G32" s="28"/>
      <c r="H32" s="28"/>
      <c r="I32" s="48" t="str">
        <f aca="false">IF(OR(G32="",G32=0),"",H32/G32)</f>
        <v/>
      </c>
      <c r="J32" s="27"/>
      <c r="K32" s="13"/>
      <c r="L32" s="28"/>
      <c r="M32" s="40"/>
      <c r="N32" s="13"/>
      <c r="O32" s="13"/>
      <c r="P32" s="17" t="str">
        <f aca="false">IF(OR(K32="",L32="",M32="",N32=""),"",IF(OR(L32&gt;0,AND(ISNUMBER(I32),I32&gt;$B$5),M32&gt;$B$6,O32="N"),"PAUSE: Protocol 10.6",IF(OR(NOT(ISNUMBER(I32)),N32&lt;&gt;"Y"),"HOLD: Gate 5 criteria (audit or notice) not met",IF(AND(K32="N",O32=""),"WATCH: recheck next cycle","CONTINUE"))))</f>
        <v/>
      </c>
    </row>
    <row r="33" customFormat="false" ht="15" hidden="false" customHeight="false" outlineLevel="0" collapsed="false">
      <c r="A33" s="12" t="s">
        <v>1978</v>
      </c>
      <c r="B33" s="13"/>
      <c r="C33" s="54"/>
      <c r="D33" s="28"/>
      <c r="E33" s="28"/>
      <c r="F33" s="48" t="str">
        <f aca="false">IF(OR(D33="",D33=0),"",E33/D33)</f>
        <v/>
      </c>
      <c r="G33" s="28"/>
      <c r="H33" s="28"/>
      <c r="I33" s="48" t="str">
        <f aca="false">IF(OR(G33="",G33=0),"",H33/G33)</f>
        <v/>
      </c>
      <c r="J33" s="27"/>
      <c r="K33" s="13"/>
      <c r="L33" s="28"/>
      <c r="M33" s="40"/>
      <c r="N33" s="13"/>
      <c r="O33" s="13"/>
      <c r="P33" s="17" t="str">
        <f aca="false">IF(OR(K33="",L33="",M33="",N33=""),"",IF(OR(L33&gt;0,AND(ISNUMBER(I33),I33&gt;$B$5),M33&gt;$B$6,O33="N"),"PAUSE: Protocol 10.6",IF(OR(NOT(ISNUMBER(I33)),N33&lt;&gt;"Y"),"HOLD: Gate 5 criteria (audit or notice) not met",IF(AND(K33="N",O33=""),"WATCH: recheck next cycle","CONTINUE"))))</f>
        <v/>
      </c>
    </row>
    <row r="34" customFormat="false" ht="15" hidden="false" customHeight="false" outlineLevel="0" collapsed="false">
      <c r="A34" s="12" t="s">
        <v>1979</v>
      </c>
      <c r="B34" s="13"/>
      <c r="C34" s="54"/>
      <c r="D34" s="28"/>
      <c r="E34" s="28"/>
      <c r="F34" s="48" t="str">
        <f aca="false">IF(OR(D34="",D34=0),"",E34/D34)</f>
        <v/>
      </c>
      <c r="G34" s="28"/>
      <c r="H34" s="28"/>
      <c r="I34" s="48" t="str">
        <f aca="false">IF(OR(G34="",G34=0),"",H34/G34)</f>
        <v/>
      </c>
      <c r="J34" s="27"/>
      <c r="K34" s="13"/>
      <c r="L34" s="28"/>
      <c r="M34" s="40"/>
      <c r="N34" s="13"/>
      <c r="O34" s="13"/>
      <c r="P34" s="17" t="str">
        <f aca="false">IF(OR(K34="",L34="",M34="",N34=""),"",IF(OR(L34&gt;0,AND(ISNUMBER(I34),I34&gt;$B$5),M34&gt;$B$6,O34="N"),"PAUSE: Protocol 10.6",IF(OR(NOT(ISNUMBER(I34)),N34&lt;&gt;"Y"),"HOLD: Gate 5 criteria (audit or notice) not met",IF(AND(K34="N",O34=""),"WATCH: recheck next cycle","CONTINUE"))))</f>
        <v/>
      </c>
    </row>
    <row r="35" customFormat="false" ht="15" hidden="false" customHeight="false" outlineLevel="0" collapsed="false">
      <c r="A35" s="12" t="s">
        <v>1980</v>
      </c>
      <c r="B35" s="13"/>
      <c r="C35" s="54"/>
      <c r="D35" s="28"/>
      <c r="E35" s="28"/>
      <c r="F35" s="48" t="str">
        <f aca="false">IF(OR(D35="",D35=0),"",E35/D35)</f>
        <v/>
      </c>
      <c r="G35" s="28"/>
      <c r="H35" s="28"/>
      <c r="I35" s="48" t="str">
        <f aca="false">IF(OR(G35="",G35=0),"",H35/G35)</f>
        <v/>
      </c>
      <c r="J35" s="27"/>
      <c r="K35" s="13"/>
      <c r="L35" s="28"/>
      <c r="M35" s="40"/>
      <c r="N35" s="13"/>
      <c r="O35" s="13"/>
      <c r="P35" s="17" t="str">
        <f aca="false">IF(OR(K35="",L35="",M35="",N35=""),"",IF(OR(L35&gt;0,AND(ISNUMBER(I35),I35&gt;$B$5),M35&gt;$B$6,O35="N"),"PAUSE: Protocol 10.6",IF(OR(NOT(ISNUMBER(I35)),N35&lt;&gt;"Y"),"HOLD: Gate 5 criteria (audit or notice) not met",IF(AND(K35="N",O35=""),"WATCH: recheck next cycle","CONTINUE"))))</f>
        <v/>
      </c>
    </row>
    <row r="36" customFormat="false" ht="15" hidden="false" customHeight="false" outlineLevel="0" collapsed="false">
      <c r="A36" s="12" t="s">
        <v>1981</v>
      </c>
      <c r="B36" s="13"/>
      <c r="C36" s="54"/>
      <c r="D36" s="28"/>
      <c r="E36" s="28"/>
      <c r="F36" s="48" t="str">
        <f aca="false">IF(OR(D36="",D36=0),"",E36/D36)</f>
        <v/>
      </c>
      <c r="G36" s="28"/>
      <c r="H36" s="28"/>
      <c r="I36" s="48" t="str">
        <f aca="false">IF(OR(G36="",G36=0),"",H36/G36)</f>
        <v/>
      </c>
      <c r="J36" s="27"/>
      <c r="K36" s="13"/>
      <c r="L36" s="28"/>
      <c r="M36" s="40"/>
      <c r="N36" s="13"/>
      <c r="O36" s="13"/>
      <c r="P36" s="17" t="str">
        <f aca="false">IF(OR(K36="",L36="",M36="",N36=""),"",IF(OR(L36&gt;0,AND(ISNUMBER(I36),I36&gt;$B$5),M36&gt;$B$6,O36="N"),"PAUSE: Protocol 10.6",IF(OR(NOT(ISNUMBER(I36)),N36&lt;&gt;"Y"),"HOLD: Gate 5 criteria (audit or notice) not met",IF(AND(K36="N",O36=""),"WATCH: recheck next cycle","CONTINUE"))))</f>
        <v/>
      </c>
    </row>
    <row r="37" customFormat="false" ht="15" hidden="false" customHeight="false" outlineLevel="0" collapsed="false">
      <c r="A37" s="12" t="s">
        <v>1982</v>
      </c>
      <c r="B37" s="13"/>
      <c r="C37" s="54"/>
      <c r="D37" s="28"/>
      <c r="E37" s="28"/>
      <c r="F37" s="48" t="str">
        <f aca="false">IF(OR(D37="",D37=0),"",E37/D37)</f>
        <v/>
      </c>
      <c r="G37" s="28"/>
      <c r="H37" s="28"/>
      <c r="I37" s="48" t="str">
        <f aca="false">IF(OR(G37="",G37=0),"",H37/G37)</f>
        <v/>
      </c>
      <c r="J37" s="27"/>
      <c r="K37" s="13"/>
      <c r="L37" s="28"/>
      <c r="M37" s="40"/>
      <c r="N37" s="13"/>
      <c r="O37" s="13"/>
      <c r="P37" s="17" t="str">
        <f aca="false">IF(OR(K37="",L37="",M37="",N37=""),"",IF(OR(L37&gt;0,AND(ISNUMBER(I37),I37&gt;$B$5),M37&gt;$B$6,O37="N"),"PAUSE: Protocol 10.6",IF(OR(NOT(ISNUMBER(I37)),N37&lt;&gt;"Y"),"HOLD: Gate 5 criteria (audit or notice) not met",IF(AND(K37="N",O37=""),"WATCH: recheck next cycle","CONTINUE"))))</f>
        <v/>
      </c>
    </row>
    <row r="38" customFormat="false" ht="15" hidden="false" customHeight="false" outlineLevel="0" collapsed="false">
      <c r="A38" s="12" t="s">
        <v>1983</v>
      </c>
      <c r="B38" s="13"/>
      <c r="C38" s="54"/>
      <c r="D38" s="28"/>
      <c r="E38" s="28"/>
      <c r="F38" s="48" t="str">
        <f aca="false">IF(OR(D38="",D38=0),"",E38/D38)</f>
        <v/>
      </c>
      <c r="G38" s="28"/>
      <c r="H38" s="28"/>
      <c r="I38" s="48" t="str">
        <f aca="false">IF(OR(G38="",G38=0),"",H38/G38)</f>
        <v/>
      </c>
      <c r="J38" s="27"/>
      <c r="K38" s="13"/>
      <c r="L38" s="28"/>
      <c r="M38" s="40"/>
      <c r="N38" s="13"/>
      <c r="O38" s="13"/>
      <c r="P38" s="17" t="str">
        <f aca="false">IF(OR(K38="",L38="",M38="",N38=""),"",IF(OR(L38&gt;0,AND(ISNUMBER(I38),I38&gt;$B$5),M38&gt;$B$6,O38="N"),"PAUSE: Protocol 10.6",IF(OR(NOT(ISNUMBER(I38)),N38&lt;&gt;"Y"),"HOLD: Gate 5 criteria (audit or notice) not met",IF(AND(K38="N",O38=""),"WATCH: recheck next cycle","CONTINUE"))))</f>
        <v/>
      </c>
    </row>
    <row r="39" customFormat="false" ht="15" hidden="false" customHeight="false" outlineLevel="0" collapsed="false">
      <c r="A39" s="12" t="s">
        <v>389</v>
      </c>
      <c r="D39" s="45" t="n">
        <f aca="false">SUM(D9:D38)</f>
        <v>0</v>
      </c>
      <c r="E39" s="45" t="n">
        <f aca="false">SUM(E9:E38)</f>
        <v>0</v>
      </c>
      <c r="F39" s="20" t="str">
        <f aca="false">IF(D39=0,"",E39/D39)</f>
        <v/>
      </c>
      <c r="G39" s="45" t="n">
        <f aca="false">SUM(G9:G38)</f>
        <v>0</v>
      </c>
      <c r="H39" s="45" t="n">
        <f aca="false">SUM(H9:H38)</f>
        <v>0</v>
      </c>
      <c r="I39" s="20" t="str">
        <f aca="false">IF(G39=0,"",H39/G39)</f>
        <v/>
      </c>
    </row>
    <row r="40" customFormat="false" ht="15" hidden="false" customHeight="false" outlineLevel="0" collapsed="false">
      <c r="A40" s="12" t="s">
        <v>1984</v>
      </c>
      <c r="P40" s="17" t="n">
        <f aca="false">COUNTIF(P9:P38,"PAUSE*")+COUNTIF(P9:P38,"HOLD*")</f>
        <v>0</v>
      </c>
    </row>
    <row r="41" customFormat="false" ht="15" hidden="false" customHeight="false" outlineLevel="0" collapsed="false">
      <c r="A41" s="12" t="s">
        <v>1985</v>
      </c>
      <c r="P41" s="17" t="n">
        <f aca="false">COUNTIF(P9:P38,"WATCH*")</f>
        <v>0</v>
      </c>
    </row>
    <row r="43" customFormat="false" ht="15" hidden="false" customHeight="false" outlineLevel="0" collapsed="false">
      <c r="A43" s="9" t="s">
        <v>1986</v>
      </c>
    </row>
  </sheetData>
  <dataValidations count="3">
    <dataValidation allowBlank="true" errorStyle="stop" operator="between" showDropDown="false" showErrorMessage="false" showInputMessage="false" sqref="K9:K38" type="list">
      <formula1>"Y,N"</formula1>
      <formula2>0</formula2>
    </dataValidation>
    <dataValidation allowBlank="true" errorStyle="stop" operator="between" showDropDown="false" showErrorMessage="false" showInputMessage="false" sqref="N9:N38" type="list">
      <formula1>"Y,N"</formula1>
      <formula2>0</formula2>
    </dataValidation>
    <dataValidation allowBlank="true" errorStyle="stop" operator="between" showDropDown="false" showErrorMessage="false" showInputMessage="false" sqref="O9:O38" type="list">
      <formula1>"Y,N"</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K6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2"/>
    <col collapsed="false" customWidth="true" hidden="false" outlineLevel="0" max="2" min="2" style="0" width="13"/>
    <col collapsed="false" customWidth="true" hidden="false" outlineLevel="0" max="3" min="3" style="0" width="16"/>
    <col collapsed="false" customWidth="true" hidden="false" outlineLevel="0" max="4" min="4" style="0" width="14"/>
    <col collapsed="false" customWidth="true" hidden="false" outlineLevel="0" max="5" min="5" style="0" width="12"/>
    <col collapsed="false" customWidth="true" hidden="false" outlineLevel="0" max="8" min="6" style="0" width="10"/>
    <col collapsed="false" customWidth="true" hidden="false" outlineLevel="0" max="9" min="9" style="0" width="12"/>
    <col collapsed="false" customWidth="true" hidden="false" outlineLevel="0" max="10" min="10" style="0" width="11"/>
    <col collapsed="false" customWidth="true" hidden="false" outlineLevel="0" max="11" min="11" style="0" width="22"/>
  </cols>
  <sheetData>
    <row r="1" customFormat="false" ht="17.35" hidden="false" customHeight="false" outlineLevel="0" collapsed="false">
      <c r="A1" s="10" t="s">
        <v>1987</v>
      </c>
    </row>
    <row r="2" customFormat="false" ht="15" hidden="false" customHeight="false" outlineLevel="0" collapsed="false">
      <c r="A2" s="11" t="s">
        <v>1988</v>
      </c>
    </row>
    <row r="3" customFormat="false" ht="15" hidden="false" customHeight="false" outlineLevel="0" collapsed="false">
      <c r="A3" s="9" t="s">
        <v>134</v>
      </c>
    </row>
    <row r="5" customFormat="false" ht="30" hidden="false" customHeight="true" outlineLevel="0" collapsed="false">
      <c r="A5" s="6" t="s">
        <v>1989</v>
      </c>
      <c r="B5" s="6" t="s">
        <v>1714</v>
      </c>
      <c r="C5" s="6" t="s">
        <v>1990</v>
      </c>
      <c r="D5" s="6" t="s">
        <v>1991</v>
      </c>
      <c r="E5" s="6" t="s">
        <v>1992</v>
      </c>
      <c r="F5" s="6" t="s">
        <v>390</v>
      </c>
      <c r="G5" s="6" t="s">
        <v>1993</v>
      </c>
      <c r="H5" s="6" t="s">
        <v>1994</v>
      </c>
      <c r="I5" s="6" t="s">
        <v>1995</v>
      </c>
      <c r="J5" s="6" t="s">
        <v>1996</v>
      </c>
      <c r="K5" s="6" t="s">
        <v>1997</v>
      </c>
    </row>
    <row r="6" customFormat="false" ht="15" hidden="false" customHeight="false" outlineLevel="0" collapsed="false">
      <c r="A6" s="13"/>
      <c r="B6" s="14"/>
      <c r="C6" s="13"/>
      <c r="D6" s="13"/>
      <c r="E6" s="13"/>
      <c r="F6" s="28"/>
      <c r="G6" s="28"/>
      <c r="H6" s="28"/>
      <c r="I6" s="28"/>
      <c r="J6" s="17" t="str">
        <f aca="false">IF(OR(H6="",I6=""),"",IF(H6&lt;=I6,"ACCEPT","REJECT"))</f>
        <v/>
      </c>
      <c r="K6" s="13"/>
    </row>
    <row r="7" customFormat="false" ht="15" hidden="false" customHeight="false" outlineLevel="0" collapsed="false">
      <c r="A7" s="13"/>
      <c r="B7" s="14"/>
      <c r="C7" s="13"/>
      <c r="D7" s="13"/>
      <c r="E7" s="13"/>
      <c r="F7" s="28"/>
      <c r="G7" s="28"/>
      <c r="H7" s="28"/>
      <c r="I7" s="28"/>
      <c r="J7" s="17" t="str">
        <f aca="false">IF(OR(H7="",I7=""),"",IF(H7&lt;=I7,"ACCEPT","REJECT"))</f>
        <v/>
      </c>
      <c r="K7" s="13"/>
    </row>
    <row r="8" customFormat="false" ht="15" hidden="false" customHeight="false" outlineLevel="0" collapsed="false">
      <c r="A8" s="13"/>
      <c r="B8" s="14"/>
      <c r="C8" s="13"/>
      <c r="D8" s="13"/>
      <c r="E8" s="13"/>
      <c r="F8" s="28"/>
      <c r="G8" s="28"/>
      <c r="H8" s="28"/>
      <c r="I8" s="28"/>
      <c r="J8" s="17" t="str">
        <f aca="false">IF(OR(H8="",I8=""),"",IF(H8&lt;=I8,"ACCEPT","REJECT"))</f>
        <v/>
      </c>
      <c r="K8" s="13"/>
    </row>
    <row r="9" customFormat="false" ht="15" hidden="false" customHeight="false" outlineLevel="0" collapsed="false">
      <c r="A9" s="13"/>
      <c r="B9" s="14"/>
      <c r="C9" s="13"/>
      <c r="D9" s="13"/>
      <c r="E9" s="13"/>
      <c r="F9" s="28"/>
      <c r="G9" s="28"/>
      <c r="H9" s="28"/>
      <c r="I9" s="28"/>
      <c r="J9" s="17" t="str">
        <f aca="false">IF(OR(H9="",I9=""),"",IF(H9&lt;=I9,"ACCEPT","REJECT"))</f>
        <v/>
      </c>
      <c r="K9" s="13"/>
    </row>
    <row r="10" customFormat="false" ht="15" hidden="false" customHeight="false" outlineLevel="0" collapsed="false">
      <c r="A10" s="13"/>
      <c r="B10" s="14"/>
      <c r="C10" s="13"/>
      <c r="D10" s="13"/>
      <c r="E10" s="13"/>
      <c r="F10" s="28"/>
      <c r="G10" s="28"/>
      <c r="H10" s="28"/>
      <c r="I10" s="28"/>
      <c r="J10" s="17" t="str">
        <f aca="false">IF(OR(H10="",I10=""),"",IF(H10&lt;=I10,"ACCEPT","REJECT"))</f>
        <v/>
      </c>
      <c r="K10" s="13"/>
    </row>
    <row r="11" customFormat="false" ht="15" hidden="false" customHeight="false" outlineLevel="0" collapsed="false">
      <c r="A11" s="13"/>
      <c r="B11" s="14"/>
      <c r="C11" s="13"/>
      <c r="D11" s="13"/>
      <c r="E11" s="13"/>
      <c r="F11" s="28"/>
      <c r="G11" s="28"/>
      <c r="H11" s="28"/>
      <c r="I11" s="28"/>
      <c r="J11" s="17" t="str">
        <f aca="false">IF(OR(H11="",I11=""),"",IF(H11&lt;=I11,"ACCEPT","REJECT"))</f>
        <v/>
      </c>
      <c r="K11" s="13"/>
    </row>
    <row r="12" customFormat="false" ht="15" hidden="false" customHeight="false" outlineLevel="0" collapsed="false">
      <c r="A12" s="13"/>
      <c r="B12" s="14"/>
      <c r="C12" s="13"/>
      <c r="D12" s="13"/>
      <c r="E12" s="13"/>
      <c r="F12" s="28"/>
      <c r="G12" s="28"/>
      <c r="H12" s="28"/>
      <c r="I12" s="28"/>
      <c r="J12" s="17" t="str">
        <f aca="false">IF(OR(H12="",I12=""),"",IF(H12&lt;=I12,"ACCEPT","REJECT"))</f>
        <v/>
      </c>
      <c r="K12" s="13"/>
    </row>
    <row r="13" customFormat="false" ht="15" hidden="false" customHeight="false" outlineLevel="0" collapsed="false">
      <c r="A13" s="13"/>
      <c r="B13" s="14"/>
      <c r="C13" s="13"/>
      <c r="D13" s="13"/>
      <c r="E13" s="13"/>
      <c r="F13" s="28"/>
      <c r="G13" s="28"/>
      <c r="H13" s="28"/>
      <c r="I13" s="28"/>
      <c r="J13" s="17" t="str">
        <f aca="false">IF(OR(H13="",I13=""),"",IF(H13&lt;=I13,"ACCEPT","REJECT"))</f>
        <v/>
      </c>
      <c r="K13" s="13"/>
    </row>
    <row r="14" customFormat="false" ht="15" hidden="false" customHeight="false" outlineLevel="0" collapsed="false">
      <c r="A14" s="13"/>
      <c r="B14" s="14"/>
      <c r="C14" s="13"/>
      <c r="D14" s="13"/>
      <c r="E14" s="13"/>
      <c r="F14" s="28"/>
      <c r="G14" s="28"/>
      <c r="H14" s="28"/>
      <c r="I14" s="28"/>
      <c r="J14" s="17" t="str">
        <f aca="false">IF(OR(H14="",I14=""),"",IF(H14&lt;=I14,"ACCEPT","REJECT"))</f>
        <v/>
      </c>
      <c r="K14" s="13"/>
    </row>
    <row r="15" customFormat="false" ht="15" hidden="false" customHeight="false" outlineLevel="0" collapsed="false">
      <c r="A15" s="13"/>
      <c r="B15" s="14"/>
      <c r="C15" s="13"/>
      <c r="D15" s="13"/>
      <c r="E15" s="13"/>
      <c r="F15" s="28"/>
      <c r="G15" s="28"/>
      <c r="H15" s="28"/>
      <c r="I15" s="28"/>
      <c r="J15" s="17" t="str">
        <f aca="false">IF(OR(H15="",I15=""),"",IF(H15&lt;=I15,"ACCEPT","REJECT"))</f>
        <v/>
      </c>
      <c r="K15" s="13"/>
    </row>
    <row r="16" customFormat="false" ht="15" hidden="false" customHeight="false" outlineLevel="0" collapsed="false">
      <c r="A16" s="13"/>
      <c r="B16" s="14"/>
      <c r="C16" s="13"/>
      <c r="D16" s="13"/>
      <c r="E16" s="13"/>
      <c r="F16" s="28"/>
      <c r="G16" s="28"/>
      <c r="H16" s="28"/>
      <c r="I16" s="28"/>
      <c r="J16" s="17" t="str">
        <f aca="false">IF(OR(H16="",I16=""),"",IF(H16&lt;=I16,"ACCEPT","REJECT"))</f>
        <v/>
      </c>
      <c r="K16" s="13"/>
    </row>
    <row r="17" customFormat="false" ht="15" hidden="false" customHeight="false" outlineLevel="0" collapsed="false">
      <c r="A17" s="13"/>
      <c r="B17" s="14"/>
      <c r="C17" s="13"/>
      <c r="D17" s="13"/>
      <c r="E17" s="13"/>
      <c r="F17" s="28"/>
      <c r="G17" s="28"/>
      <c r="H17" s="28"/>
      <c r="I17" s="28"/>
      <c r="J17" s="17" t="str">
        <f aca="false">IF(OR(H17="",I17=""),"",IF(H17&lt;=I17,"ACCEPT","REJECT"))</f>
        <v/>
      </c>
      <c r="K17" s="13"/>
    </row>
    <row r="18" customFormat="false" ht="15" hidden="false" customHeight="false" outlineLevel="0" collapsed="false">
      <c r="A18" s="13"/>
      <c r="B18" s="14"/>
      <c r="C18" s="13"/>
      <c r="D18" s="13"/>
      <c r="E18" s="13"/>
      <c r="F18" s="28"/>
      <c r="G18" s="28"/>
      <c r="H18" s="28"/>
      <c r="I18" s="28"/>
      <c r="J18" s="17" t="str">
        <f aca="false">IF(OR(H18="",I18=""),"",IF(H18&lt;=I18,"ACCEPT","REJECT"))</f>
        <v/>
      </c>
      <c r="K18" s="13"/>
    </row>
    <row r="19" customFormat="false" ht="15" hidden="false" customHeight="false" outlineLevel="0" collapsed="false">
      <c r="A19" s="13"/>
      <c r="B19" s="14"/>
      <c r="C19" s="13"/>
      <c r="D19" s="13"/>
      <c r="E19" s="13"/>
      <c r="F19" s="28"/>
      <c r="G19" s="28"/>
      <c r="H19" s="28"/>
      <c r="I19" s="28"/>
      <c r="J19" s="17" t="str">
        <f aca="false">IF(OR(H19="",I19=""),"",IF(H19&lt;=I19,"ACCEPT","REJECT"))</f>
        <v/>
      </c>
      <c r="K19" s="13"/>
    </row>
    <row r="20" customFormat="false" ht="15" hidden="false" customHeight="false" outlineLevel="0" collapsed="false">
      <c r="A20" s="13"/>
      <c r="B20" s="14"/>
      <c r="C20" s="13"/>
      <c r="D20" s="13"/>
      <c r="E20" s="13"/>
      <c r="F20" s="28"/>
      <c r="G20" s="28"/>
      <c r="H20" s="28"/>
      <c r="I20" s="28"/>
      <c r="J20" s="17" t="str">
        <f aca="false">IF(OR(H20="",I20=""),"",IF(H20&lt;=I20,"ACCEPT","REJECT"))</f>
        <v/>
      </c>
      <c r="K20" s="13"/>
    </row>
    <row r="21" customFormat="false" ht="15" hidden="false" customHeight="false" outlineLevel="0" collapsed="false">
      <c r="A21" s="13"/>
      <c r="B21" s="14"/>
      <c r="C21" s="13"/>
      <c r="D21" s="13"/>
      <c r="E21" s="13"/>
      <c r="F21" s="28"/>
      <c r="G21" s="28"/>
      <c r="H21" s="28"/>
      <c r="I21" s="28"/>
      <c r="J21" s="17" t="str">
        <f aca="false">IF(OR(H21="",I21=""),"",IF(H21&lt;=I21,"ACCEPT","REJECT"))</f>
        <v/>
      </c>
      <c r="K21" s="13"/>
    </row>
    <row r="22" customFormat="false" ht="15" hidden="false" customHeight="false" outlineLevel="0" collapsed="false">
      <c r="A22" s="13"/>
      <c r="B22" s="14"/>
      <c r="C22" s="13"/>
      <c r="D22" s="13"/>
      <c r="E22" s="13"/>
      <c r="F22" s="28"/>
      <c r="G22" s="28"/>
      <c r="H22" s="28"/>
      <c r="I22" s="28"/>
      <c r="J22" s="17" t="str">
        <f aca="false">IF(OR(H22="",I22=""),"",IF(H22&lt;=I22,"ACCEPT","REJECT"))</f>
        <v/>
      </c>
      <c r="K22" s="13"/>
    </row>
    <row r="23" customFormat="false" ht="15" hidden="false" customHeight="false" outlineLevel="0" collapsed="false">
      <c r="A23" s="13"/>
      <c r="B23" s="14"/>
      <c r="C23" s="13"/>
      <c r="D23" s="13"/>
      <c r="E23" s="13"/>
      <c r="F23" s="28"/>
      <c r="G23" s="28"/>
      <c r="H23" s="28"/>
      <c r="I23" s="28"/>
      <c r="J23" s="17" t="str">
        <f aca="false">IF(OR(H23="",I23=""),"",IF(H23&lt;=I23,"ACCEPT","REJECT"))</f>
        <v/>
      </c>
      <c r="K23" s="13"/>
    </row>
    <row r="24" customFormat="false" ht="15" hidden="false" customHeight="false" outlineLevel="0" collapsed="false">
      <c r="A24" s="13"/>
      <c r="B24" s="14"/>
      <c r="C24" s="13"/>
      <c r="D24" s="13"/>
      <c r="E24" s="13"/>
      <c r="F24" s="28"/>
      <c r="G24" s="28"/>
      <c r="H24" s="28"/>
      <c r="I24" s="28"/>
      <c r="J24" s="17" t="str">
        <f aca="false">IF(OR(H24="",I24=""),"",IF(H24&lt;=I24,"ACCEPT","REJECT"))</f>
        <v/>
      </c>
      <c r="K24" s="13"/>
    </row>
    <row r="25" customFormat="false" ht="15" hidden="false" customHeight="false" outlineLevel="0" collapsed="false">
      <c r="A25" s="13"/>
      <c r="B25" s="14"/>
      <c r="C25" s="13"/>
      <c r="D25" s="13"/>
      <c r="E25" s="13"/>
      <c r="F25" s="28"/>
      <c r="G25" s="28"/>
      <c r="H25" s="28"/>
      <c r="I25" s="28"/>
      <c r="J25" s="17" t="str">
        <f aca="false">IF(OR(H25="",I25=""),"",IF(H25&lt;=I25,"ACCEPT","REJECT"))</f>
        <v/>
      </c>
      <c r="K25" s="13"/>
    </row>
    <row r="26" customFormat="false" ht="15" hidden="false" customHeight="false" outlineLevel="0" collapsed="false">
      <c r="A26" s="9" t="s">
        <v>1998</v>
      </c>
    </row>
    <row r="27" customFormat="false" ht="22.35" hidden="false" customHeight="false" outlineLevel="0" collapsed="false">
      <c r="A27" s="16" t="s">
        <v>1999</v>
      </c>
    </row>
    <row r="28" customFormat="false" ht="30" hidden="false" customHeight="true" outlineLevel="0" collapsed="false">
      <c r="A28" s="6" t="s">
        <v>943</v>
      </c>
      <c r="B28" s="6" t="s">
        <v>1468</v>
      </c>
      <c r="C28" s="6" t="s">
        <v>2000</v>
      </c>
      <c r="D28" s="6" t="s">
        <v>2001</v>
      </c>
      <c r="E28" s="6" t="s">
        <v>2002</v>
      </c>
      <c r="F28" s="6" t="s">
        <v>2003</v>
      </c>
      <c r="G28" s="6" t="s">
        <v>2004</v>
      </c>
      <c r="H28" s="6" t="s">
        <v>2005</v>
      </c>
      <c r="I28" s="6" t="s">
        <v>2006</v>
      </c>
      <c r="J28" s="6" t="s">
        <v>2007</v>
      </c>
      <c r="K28" s="6" t="s">
        <v>2008</v>
      </c>
    </row>
    <row r="29" customFormat="false" ht="15" hidden="false" customHeight="false" outlineLevel="0" collapsed="false">
      <c r="A29" s="14"/>
      <c r="B29" s="13"/>
      <c r="C29" s="13"/>
      <c r="D29" s="28"/>
      <c r="E29" s="28"/>
      <c r="F29" s="28"/>
      <c r="G29" s="28"/>
      <c r="H29" s="55" t="str">
        <f aca="false">IF(D29="","",D29+E29-F29+G29)</f>
        <v/>
      </c>
      <c r="I29" s="28"/>
      <c r="J29" s="45" t="str">
        <f aca="false">IF(OR(H29="",I29=""),"",I29-H29)</f>
        <v/>
      </c>
      <c r="K29" s="13"/>
    </row>
    <row r="30" customFormat="false" ht="15" hidden="false" customHeight="false" outlineLevel="0" collapsed="false">
      <c r="A30" s="14"/>
      <c r="B30" s="13"/>
      <c r="C30" s="13"/>
      <c r="D30" s="28"/>
      <c r="E30" s="28"/>
      <c r="F30" s="28"/>
      <c r="G30" s="28"/>
      <c r="H30" s="55" t="str">
        <f aca="false">IF(D30="","",D30+E30-F30+G30)</f>
        <v/>
      </c>
      <c r="I30" s="28"/>
      <c r="J30" s="45" t="str">
        <f aca="false">IF(OR(H30="",I30=""),"",I30-H30)</f>
        <v/>
      </c>
      <c r="K30" s="13"/>
    </row>
    <row r="31" customFormat="false" ht="15" hidden="false" customHeight="false" outlineLevel="0" collapsed="false">
      <c r="A31" s="14"/>
      <c r="B31" s="13"/>
      <c r="C31" s="13"/>
      <c r="D31" s="28"/>
      <c r="E31" s="28"/>
      <c r="F31" s="28"/>
      <c r="G31" s="28"/>
      <c r="H31" s="55" t="str">
        <f aca="false">IF(D31="","",D31+E31-F31+G31)</f>
        <v/>
      </c>
      <c r="I31" s="28"/>
      <c r="J31" s="45" t="str">
        <f aca="false">IF(OR(H31="",I31=""),"",I31-H31)</f>
        <v/>
      </c>
      <c r="K31" s="13"/>
    </row>
    <row r="32" customFormat="false" ht="15" hidden="false" customHeight="false" outlineLevel="0" collapsed="false">
      <c r="A32" s="14"/>
      <c r="B32" s="13"/>
      <c r="C32" s="13"/>
      <c r="D32" s="28"/>
      <c r="E32" s="28"/>
      <c r="F32" s="28"/>
      <c r="G32" s="28"/>
      <c r="H32" s="55" t="str">
        <f aca="false">IF(D32="","",D32+E32-F32+G32)</f>
        <v/>
      </c>
      <c r="I32" s="28"/>
      <c r="J32" s="45" t="str">
        <f aca="false">IF(OR(H32="",I32=""),"",I32-H32)</f>
        <v/>
      </c>
      <c r="K32" s="13"/>
    </row>
    <row r="33" customFormat="false" ht="15" hidden="false" customHeight="false" outlineLevel="0" collapsed="false">
      <c r="A33" s="14"/>
      <c r="B33" s="13"/>
      <c r="C33" s="13"/>
      <c r="D33" s="28"/>
      <c r="E33" s="28"/>
      <c r="F33" s="28"/>
      <c r="G33" s="28"/>
      <c r="H33" s="55" t="str">
        <f aca="false">IF(D33="","",D33+E33-F33+G33)</f>
        <v/>
      </c>
      <c r="I33" s="28"/>
      <c r="J33" s="45" t="str">
        <f aca="false">IF(OR(H33="",I33=""),"",I33-H33)</f>
        <v/>
      </c>
      <c r="K33" s="13"/>
    </row>
    <row r="34" customFormat="false" ht="15" hidden="false" customHeight="false" outlineLevel="0" collapsed="false">
      <c r="A34" s="14"/>
      <c r="B34" s="13"/>
      <c r="C34" s="13"/>
      <c r="D34" s="28"/>
      <c r="E34" s="28"/>
      <c r="F34" s="28"/>
      <c r="G34" s="28"/>
      <c r="H34" s="55" t="str">
        <f aca="false">IF(D34="","",D34+E34-F34+G34)</f>
        <v/>
      </c>
      <c r="I34" s="28"/>
      <c r="J34" s="45" t="str">
        <f aca="false">IF(OR(H34="",I34=""),"",I34-H34)</f>
        <v/>
      </c>
      <c r="K34" s="13"/>
    </row>
    <row r="35" customFormat="false" ht="15" hidden="false" customHeight="false" outlineLevel="0" collapsed="false">
      <c r="A35" s="14"/>
      <c r="B35" s="13"/>
      <c r="C35" s="13"/>
      <c r="D35" s="28"/>
      <c r="E35" s="28"/>
      <c r="F35" s="28"/>
      <c r="G35" s="28"/>
      <c r="H35" s="55" t="str">
        <f aca="false">IF(D35="","",D35+E35-F35+G35)</f>
        <v/>
      </c>
      <c r="I35" s="28"/>
      <c r="J35" s="45" t="str">
        <f aca="false">IF(OR(H35="",I35=""),"",I35-H35)</f>
        <v/>
      </c>
      <c r="K35" s="13"/>
    </row>
    <row r="36" customFormat="false" ht="15" hidden="false" customHeight="false" outlineLevel="0" collapsed="false">
      <c r="A36" s="14"/>
      <c r="B36" s="13"/>
      <c r="C36" s="13"/>
      <c r="D36" s="28"/>
      <c r="E36" s="28"/>
      <c r="F36" s="28"/>
      <c r="G36" s="28"/>
      <c r="H36" s="55" t="str">
        <f aca="false">IF(D36="","",D36+E36-F36+G36)</f>
        <v/>
      </c>
      <c r="I36" s="28"/>
      <c r="J36" s="45" t="str">
        <f aca="false">IF(OR(H36="",I36=""),"",I36-H36)</f>
        <v/>
      </c>
      <c r="K36" s="13"/>
    </row>
    <row r="37" customFormat="false" ht="15" hidden="false" customHeight="false" outlineLevel="0" collapsed="false">
      <c r="A37" s="14"/>
      <c r="B37" s="13"/>
      <c r="C37" s="13"/>
      <c r="D37" s="28"/>
      <c r="E37" s="28"/>
      <c r="F37" s="28"/>
      <c r="G37" s="28"/>
      <c r="H37" s="55" t="str">
        <f aca="false">IF(D37="","",D37+E37-F37+G37)</f>
        <v/>
      </c>
      <c r="I37" s="28"/>
      <c r="J37" s="45" t="str">
        <f aca="false">IF(OR(H37="",I37=""),"",I37-H37)</f>
        <v/>
      </c>
      <c r="K37" s="13"/>
    </row>
    <row r="38" customFormat="false" ht="15" hidden="false" customHeight="false" outlineLevel="0" collapsed="false">
      <c r="A38" s="14"/>
      <c r="B38" s="13"/>
      <c r="C38" s="13"/>
      <c r="D38" s="28"/>
      <c r="E38" s="28"/>
      <c r="F38" s="28"/>
      <c r="G38" s="28"/>
      <c r="H38" s="55" t="str">
        <f aca="false">IF(D38="","",D38+E38-F38+G38)</f>
        <v/>
      </c>
      <c r="I38" s="28"/>
      <c r="J38" s="45" t="str">
        <f aca="false">IF(OR(H38="",I38=""),"",I38-H38)</f>
        <v/>
      </c>
      <c r="K38" s="13"/>
    </row>
    <row r="39" customFormat="false" ht="15" hidden="false" customHeight="false" outlineLevel="0" collapsed="false">
      <c r="A39" s="14"/>
      <c r="B39" s="13"/>
      <c r="C39" s="13"/>
      <c r="D39" s="28"/>
      <c r="E39" s="28"/>
      <c r="F39" s="28"/>
      <c r="G39" s="28"/>
      <c r="H39" s="55" t="str">
        <f aca="false">IF(D39="","",D39+E39-F39+G39)</f>
        <v/>
      </c>
      <c r="I39" s="28"/>
      <c r="J39" s="45" t="str">
        <f aca="false">IF(OR(H39="",I39=""),"",I39-H39)</f>
        <v/>
      </c>
      <c r="K39" s="13"/>
    </row>
    <row r="40" customFormat="false" ht="15" hidden="false" customHeight="false" outlineLevel="0" collapsed="false">
      <c r="A40" s="14"/>
      <c r="B40" s="13"/>
      <c r="C40" s="13"/>
      <c r="D40" s="28"/>
      <c r="E40" s="28"/>
      <c r="F40" s="28"/>
      <c r="G40" s="28"/>
      <c r="H40" s="55" t="str">
        <f aca="false">IF(D40="","",D40+E40-F40+G40)</f>
        <v/>
      </c>
      <c r="I40" s="28"/>
      <c r="J40" s="45" t="str">
        <f aca="false">IF(OR(H40="",I40=""),"",I40-H40)</f>
        <v/>
      </c>
      <c r="K40" s="13"/>
    </row>
    <row r="41" customFormat="false" ht="15" hidden="false" customHeight="false" outlineLevel="0" collapsed="false">
      <c r="A41" s="14"/>
      <c r="B41" s="13"/>
      <c r="C41" s="13"/>
      <c r="D41" s="28"/>
      <c r="E41" s="28"/>
      <c r="F41" s="28"/>
      <c r="G41" s="28"/>
      <c r="H41" s="55" t="str">
        <f aca="false">IF(D41="","",D41+E41-F41+G41)</f>
        <v/>
      </c>
      <c r="I41" s="28"/>
      <c r="J41" s="45" t="str">
        <f aca="false">IF(OR(H41="",I41=""),"",I41-H41)</f>
        <v/>
      </c>
      <c r="K41" s="13"/>
    </row>
    <row r="42" customFormat="false" ht="15" hidden="false" customHeight="false" outlineLevel="0" collapsed="false">
      <c r="A42" s="14"/>
      <c r="B42" s="13"/>
      <c r="C42" s="13"/>
      <c r="D42" s="28"/>
      <c r="E42" s="28"/>
      <c r="F42" s="28"/>
      <c r="G42" s="28"/>
      <c r="H42" s="55" t="str">
        <f aca="false">IF(D42="","",D42+E42-F42+G42)</f>
        <v/>
      </c>
      <c r="I42" s="28"/>
      <c r="J42" s="45" t="str">
        <f aca="false">IF(OR(H42="",I42=""),"",I42-H42)</f>
        <v/>
      </c>
      <c r="K42" s="13"/>
    </row>
    <row r="43" customFormat="false" ht="15" hidden="false" customHeight="false" outlineLevel="0" collapsed="false">
      <c r="A43" s="14"/>
      <c r="B43" s="13"/>
      <c r="C43" s="13"/>
      <c r="D43" s="28"/>
      <c r="E43" s="28"/>
      <c r="F43" s="28"/>
      <c r="G43" s="28"/>
      <c r="H43" s="55" t="str">
        <f aca="false">IF(D43="","",D43+E43-F43+G43)</f>
        <v/>
      </c>
      <c r="I43" s="28"/>
      <c r="J43" s="45" t="str">
        <f aca="false">IF(OR(H43="",I43=""),"",I43-H43)</f>
        <v/>
      </c>
      <c r="K43" s="13"/>
    </row>
    <row r="44" customFormat="false" ht="15" hidden="false" customHeight="false" outlineLevel="0" collapsed="false">
      <c r="A44" s="14"/>
      <c r="B44" s="13"/>
      <c r="C44" s="13"/>
      <c r="D44" s="28"/>
      <c r="E44" s="28"/>
      <c r="F44" s="28"/>
      <c r="G44" s="28"/>
      <c r="H44" s="55" t="str">
        <f aca="false">IF(D44="","",D44+E44-F44+G44)</f>
        <v/>
      </c>
      <c r="I44" s="28"/>
      <c r="J44" s="45" t="str">
        <f aca="false">IF(OR(H44="",I44=""),"",I44-H44)</f>
        <v/>
      </c>
      <c r="K44" s="13"/>
    </row>
    <row r="45" customFormat="false" ht="15" hidden="false" customHeight="false" outlineLevel="0" collapsed="false">
      <c r="A45" s="14"/>
      <c r="B45" s="13"/>
      <c r="C45" s="13"/>
      <c r="D45" s="28"/>
      <c r="E45" s="28"/>
      <c r="F45" s="28"/>
      <c r="G45" s="28"/>
      <c r="H45" s="55" t="str">
        <f aca="false">IF(D45="","",D45+E45-F45+G45)</f>
        <v/>
      </c>
      <c r="I45" s="28"/>
      <c r="J45" s="45" t="str">
        <f aca="false">IF(OR(H45="",I45=""),"",I45-H45)</f>
        <v/>
      </c>
      <c r="K45" s="13"/>
    </row>
    <row r="46" customFormat="false" ht="15" hidden="false" customHeight="false" outlineLevel="0" collapsed="false">
      <c r="A46" s="14"/>
      <c r="B46" s="13"/>
      <c r="C46" s="13"/>
      <c r="D46" s="28"/>
      <c r="E46" s="28"/>
      <c r="F46" s="28"/>
      <c r="G46" s="28"/>
      <c r="H46" s="55" t="str">
        <f aca="false">IF(D46="","",D46+E46-F46+G46)</f>
        <v/>
      </c>
      <c r="I46" s="28"/>
      <c r="J46" s="45" t="str">
        <f aca="false">IF(OR(H46="",I46=""),"",I46-H46)</f>
        <v/>
      </c>
      <c r="K46" s="13"/>
    </row>
    <row r="47" customFormat="false" ht="15" hidden="false" customHeight="false" outlineLevel="0" collapsed="false">
      <c r="A47" s="14"/>
      <c r="B47" s="13"/>
      <c r="C47" s="13"/>
      <c r="D47" s="28"/>
      <c r="E47" s="28"/>
      <c r="F47" s="28"/>
      <c r="G47" s="28"/>
      <c r="H47" s="55" t="str">
        <f aca="false">IF(D47="","",D47+E47-F47+G47)</f>
        <v/>
      </c>
      <c r="I47" s="28"/>
      <c r="J47" s="45" t="str">
        <f aca="false">IF(OR(H47="",I47=""),"",I47-H47)</f>
        <v/>
      </c>
      <c r="K47" s="13"/>
    </row>
    <row r="48" customFormat="false" ht="15" hidden="false" customHeight="false" outlineLevel="0" collapsed="false">
      <c r="A48" s="14"/>
      <c r="B48" s="13"/>
      <c r="C48" s="13"/>
      <c r="D48" s="28"/>
      <c r="E48" s="28"/>
      <c r="F48" s="28"/>
      <c r="G48" s="28"/>
      <c r="H48" s="55" t="str">
        <f aca="false">IF(D48="","",D48+E48-F48+G48)</f>
        <v/>
      </c>
      <c r="I48" s="28"/>
      <c r="J48" s="45" t="str">
        <f aca="false">IF(OR(H48="",I48=""),"",I48-H48)</f>
        <v/>
      </c>
      <c r="K48" s="13"/>
    </row>
    <row r="49" customFormat="false" ht="15" hidden="false" customHeight="false" outlineLevel="0" collapsed="false">
      <c r="A49" s="14"/>
      <c r="B49" s="13"/>
      <c r="C49" s="13"/>
      <c r="D49" s="28"/>
      <c r="E49" s="28"/>
      <c r="F49" s="28"/>
      <c r="G49" s="28"/>
      <c r="H49" s="55" t="str">
        <f aca="false">IF(D49="","",D49+E49-F49+G49)</f>
        <v/>
      </c>
      <c r="I49" s="28"/>
      <c r="J49" s="45" t="str">
        <f aca="false">IF(OR(H49="",I49=""),"",I49-H49)</f>
        <v/>
      </c>
      <c r="K49" s="13"/>
    </row>
    <row r="50" customFormat="false" ht="15" hidden="false" customHeight="false" outlineLevel="0" collapsed="false">
      <c r="A50" s="14"/>
      <c r="B50" s="13"/>
      <c r="C50" s="13"/>
      <c r="D50" s="28"/>
      <c r="E50" s="28"/>
      <c r="F50" s="28"/>
      <c r="G50" s="28"/>
      <c r="H50" s="55" t="str">
        <f aca="false">IF(D50="","",D50+E50-F50+G50)</f>
        <v/>
      </c>
      <c r="I50" s="28"/>
      <c r="J50" s="45" t="str">
        <f aca="false">IF(OR(H50="",I50=""),"",I50-H50)</f>
        <v/>
      </c>
      <c r="K50" s="13"/>
    </row>
    <row r="51" customFormat="false" ht="15" hidden="false" customHeight="false" outlineLevel="0" collapsed="false">
      <c r="A51" s="14"/>
      <c r="B51" s="13"/>
      <c r="C51" s="13"/>
      <c r="D51" s="28"/>
      <c r="E51" s="28"/>
      <c r="F51" s="28"/>
      <c r="G51" s="28"/>
      <c r="H51" s="55" t="str">
        <f aca="false">IF(D51="","",D51+E51-F51+G51)</f>
        <v/>
      </c>
      <c r="I51" s="28"/>
      <c r="J51" s="45" t="str">
        <f aca="false">IF(OR(H51="",I51=""),"",I51-H51)</f>
        <v/>
      </c>
      <c r="K51" s="13"/>
    </row>
    <row r="52" customFormat="false" ht="15" hidden="false" customHeight="false" outlineLevel="0" collapsed="false">
      <c r="A52" s="14"/>
      <c r="B52" s="13"/>
      <c r="C52" s="13"/>
      <c r="D52" s="28"/>
      <c r="E52" s="28"/>
      <c r="F52" s="28"/>
      <c r="G52" s="28"/>
      <c r="H52" s="55" t="str">
        <f aca="false">IF(D52="","",D52+E52-F52+G52)</f>
        <v/>
      </c>
      <c r="I52" s="28"/>
      <c r="J52" s="45" t="str">
        <f aca="false">IF(OR(H52="",I52=""),"",I52-H52)</f>
        <v/>
      </c>
      <c r="K52" s="13"/>
    </row>
    <row r="53" customFormat="false" ht="15" hidden="false" customHeight="false" outlineLevel="0" collapsed="false">
      <c r="A53" s="14"/>
      <c r="B53" s="13"/>
      <c r="C53" s="13"/>
      <c r="D53" s="28"/>
      <c r="E53" s="28"/>
      <c r="F53" s="28"/>
      <c r="G53" s="28"/>
      <c r="H53" s="55" t="str">
        <f aca="false">IF(D53="","",D53+E53-F53+G53)</f>
        <v/>
      </c>
      <c r="I53" s="28"/>
      <c r="J53" s="45" t="str">
        <f aca="false">IF(OR(H53="",I53=""),"",I53-H53)</f>
        <v/>
      </c>
      <c r="K53" s="13"/>
    </row>
    <row r="54" customFormat="false" ht="15" hidden="false" customHeight="false" outlineLevel="0" collapsed="false">
      <c r="A54" s="14"/>
      <c r="B54" s="13"/>
      <c r="C54" s="13"/>
      <c r="D54" s="28"/>
      <c r="E54" s="28"/>
      <c r="F54" s="28"/>
      <c r="G54" s="28"/>
      <c r="H54" s="55" t="str">
        <f aca="false">IF(D54="","",D54+E54-F54+G54)</f>
        <v/>
      </c>
      <c r="I54" s="28"/>
      <c r="J54" s="45" t="str">
        <f aca="false">IF(OR(H54="",I54=""),"",I54-H54)</f>
        <v/>
      </c>
      <c r="K54" s="13"/>
    </row>
    <row r="55" customFormat="false" ht="15" hidden="false" customHeight="false" outlineLevel="0" collapsed="false">
      <c r="A55" s="14"/>
      <c r="B55" s="13"/>
      <c r="C55" s="13"/>
      <c r="D55" s="28"/>
      <c r="E55" s="28"/>
      <c r="F55" s="28"/>
      <c r="G55" s="28"/>
      <c r="H55" s="55" t="str">
        <f aca="false">IF(D55="","",D55+E55-F55+G55)</f>
        <v/>
      </c>
      <c r="I55" s="28"/>
      <c r="J55" s="45" t="str">
        <f aca="false">IF(OR(H55="",I55=""),"",I55-H55)</f>
        <v/>
      </c>
      <c r="K55" s="13"/>
    </row>
    <row r="56" customFormat="false" ht="15" hidden="false" customHeight="false" outlineLevel="0" collapsed="false">
      <c r="A56" s="14"/>
      <c r="B56" s="13"/>
      <c r="C56" s="13"/>
      <c r="D56" s="28"/>
      <c r="E56" s="28"/>
      <c r="F56" s="28"/>
      <c r="G56" s="28"/>
      <c r="H56" s="55" t="str">
        <f aca="false">IF(D56="","",D56+E56-F56+G56)</f>
        <v/>
      </c>
      <c r="I56" s="28"/>
      <c r="J56" s="45" t="str">
        <f aca="false">IF(OR(H56="",I56=""),"",I56-H56)</f>
        <v/>
      </c>
      <c r="K56" s="13"/>
    </row>
    <row r="57" customFormat="false" ht="15" hidden="false" customHeight="false" outlineLevel="0" collapsed="false">
      <c r="A57" s="14"/>
      <c r="B57" s="13"/>
      <c r="C57" s="13"/>
      <c r="D57" s="28"/>
      <c r="E57" s="28"/>
      <c r="F57" s="28"/>
      <c r="G57" s="28"/>
      <c r="H57" s="55" t="str">
        <f aca="false">IF(D57="","",D57+E57-F57+G57)</f>
        <v/>
      </c>
      <c r="I57" s="28"/>
      <c r="J57" s="45" t="str">
        <f aca="false">IF(OR(H57="",I57=""),"",I57-H57)</f>
        <v/>
      </c>
      <c r="K57" s="13"/>
    </row>
    <row r="58" customFormat="false" ht="15" hidden="false" customHeight="false" outlineLevel="0" collapsed="false">
      <c r="A58" s="14"/>
      <c r="B58" s="13"/>
      <c r="C58" s="13"/>
      <c r="D58" s="28"/>
      <c r="E58" s="28"/>
      <c r="F58" s="28"/>
      <c r="G58" s="28"/>
      <c r="H58" s="55" t="str">
        <f aca="false">IF(D58="","",D58+E58-F58+G58)</f>
        <v/>
      </c>
      <c r="I58" s="28"/>
      <c r="J58" s="45" t="str">
        <f aca="false">IF(OR(H58="",I58=""),"",I58-H58)</f>
        <v/>
      </c>
      <c r="K58" s="13"/>
    </row>
    <row r="59" customFormat="false" ht="15" hidden="false" customHeight="false" outlineLevel="0" collapsed="false">
      <c r="A59" s="14"/>
      <c r="B59" s="13"/>
      <c r="C59" s="13"/>
      <c r="D59" s="28"/>
      <c r="E59" s="28"/>
      <c r="F59" s="28"/>
      <c r="G59" s="28"/>
      <c r="H59" s="55" t="str">
        <f aca="false">IF(D59="","",D59+E59-F59+G59)</f>
        <v/>
      </c>
      <c r="I59" s="28"/>
      <c r="J59" s="45" t="str">
        <f aca="false">IF(OR(H59="",I59=""),"",I59-H59)</f>
        <v/>
      </c>
      <c r="K59" s="13"/>
    </row>
    <row r="60" customFormat="false" ht="15" hidden="false" customHeight="false" outlineLevel="0" collapsed="false">
      <c r="A60" s="14"/>
      <c r="B60" s="13"/>
      <c r="C60" s="13"/>
      <c r="D60" s="28"/>
      <c r="E60" s="28"/>
      <c r="F60" s="28"/>
      <c r="G60" s="28"/>
      <c r="H60" s="55" t="str">
        <f aca="false">IF(D60="","",D60+E60-F60+G60)</f>
        <v/>
      </c>
      <c r="I60" s="28"/>
      <c r="J60" s="45" t="str">
        <f aca="false">IF(OR(H60="",I60=""),"",I60-H60)</f>
        <v/>
      </c>
      <c r="K60" s="13"/>
    </row>
    <row r="61" customFormat="false" ht="15" hidden="false" customHeight="false" outlineLevel="0" collapsed="false">
      <c r="A61" s="14"/>
      <c r="B61" s="13"/>
      <c r="C61" s="13"/>
      <c r="D61" s="28"/>
      <c r="E61" s="28"/>
      <c r="F61" s="28"/>
      <c r="G61" s="28"/>
      <c r="H61" s="55" t="str">
        <f aca="false">IF(D61="","",D61+E61-F61+G61)</f>
        <v/>
      </c>
      <c r="I61" s="28"/>
      <c r="J61" s="45" t="str">
        <f aca="false">IF(OR(H61="",I61=""),"",I61-H61)</f>
        <v/>
      </c>
      <c r="K61" s="13"/>
    </row>
    <row r="62" customFormat="false" ht="15" hidden="false" customHeight="false" outlineLevel="0" collapsed="false">
      <c r="A62" s="14"/>
      <c r="B62" s="13"/>
      <c r="C62" s="13"/>
      <c r="D62" s="28"/>
      <c r="E62" s="28"/>
      <c r="F62" s="28"/>
      <c r="G62" s="28"/>
      <c r="H62" s="55" t="str">
        <f aca="false">IF(D62="","",D62+E62-F62+G62)</f>
        <v/>
      </c>
      <c r="I62" s="28"/>
      <c r="J62" s="45" t="str">
        <f aca="false">IF(OR(H62="",I62=""),"",I62-H62)</f>
        <v/>
      </c>
      <c r="K62" s="13"/>
    </row>
    <row r="63" customFormat="false" ht="15" hidden="false" customHeight="false" outlineLevel="0" collapsed="false">
      <c r="A63" s="14"/>
      <c r="B63" s="13"/>
      <c r="C63" s="13"/>
      <c r="D63" s="28"/>
      <c r="E63" s="28"/>
      <c r="F63" s="28"/>
      <c r="G63" s="28"/>
      <c r="H63" s="55" t="str">
        <f aca="false">IF(D63="","",D63+E63-F63+G63)</f>
        <v/>
      </c>
      <c r="I63" s="28"/>
      <c r="J63" s="45" t="str">
        <f aca="false">IF(OR(H63="",I63=""),"",I63-H63)</f>
        <v/>
      </c>
      <c r="K63" s="13"/>
    </row>
    <row r="64" customFormat="false" ht="15" hidden="false" customHeight="false" outlineLevel="0" collapsed="false">
      <c r="A64" s="14"/>
      <c r="B64" s="13"/>
      <c r="C64" s="13"/>
      <c r="D64" s="28"/>
      <c r="E64" s="28"/>
      <c r="F64" s="28"/>
      <c r="G64" s="28"/>
      <c r="H64" s="55" t="str">
        <f aca="false">IF(D64="","",D64+E64-F64+G64)</f>
        <v/>
      </c>
      <c r="I64" s="28"/>
      <c r="J64" s="45" t="str">
        <f aca="false">IF(OR(H64="",I64=""),"",I64-H64)</f>
        <v/>
      </c>
      <c r="K64" s="13"/>
    </row>
    <row r="65" customFormat="false" ht="15" hidden="false" customHeight="false" outlineLevel="0" collapsed="false">
      <c r="A65" s="14"/>
      <c r="B65" s="13"/>
      <c r="C65" s="13"/>
      <c r="D65" s="28"/>
      <c r="E65" s="28"/>
      <c r="F65" s="28"/>
      <c r="G65" s="28"/>
      <c r="H65" s="55" t="str">
        <f aca="false">IF(D65="","",D65+E65-F65+G65)</f>
        <v/>
      </c>
      <c r="I65" s="28"/>
      <c r="J65" s="45" t="str">
        <f aca="false">IF(OR(H65="",I65=""),"",I65-H65)</f>
        <v/>
      </c>
      <c r="K65" s="13"/>
    </row>
    <row r="66" customFormat="false" ht="15" hidden="false" customHeight="false" outlineLevel="0" collapsed="false">
      <c r="A66" s="14"/>
      <c r="B66" s="13"/>
      <c r="C66" s="13"/>
      <c r="D66" s="28"/>
      <c r="E66" s="28"/>
      <c r="F66" s="28"/>
      <c r="G66" s="28"/>
      <c r="H66" s="55" t="str">
        <f aca="false">IF(D66="","",D66+E66-F66+G66)</f>
        <v/>
      </c>
      <c r="I66" s="28"/>
      <c r="J66" s="45" t="str">
        <f aca="false">IF(OR(H66="",I66=""),"",I66-H66)</f>
        <v/>
      </c>
      <c r="K66" s="13"/>
    </row>
    <row r="67" customFormat="false" ht="15" hidden="false" customHeight="false" outlineLevel="0" collapsed="false">
      <c r="A67" s="14"/>
      <c r="B67" s="13"/>
      <c r="C67" s="13"/>
      <c r="D67" s="28"/>
      <c r="E67" s="28"/>
      <c r="F67" s="28"/>
      <c r="G67" s="28"/>
      <c r="H67" s="55" t="str">
        <f aca="false">IF(D67="","",D67+E67-F67+G67)</f>
        <v/>
      </c>
      <c r="I67" s="28"/>
      <c r="J67" s="45" t="str">
        <f aca="false">IF(OR(H67="",I67=""),"",I67-H67)</f>
        <v/>
      </c>
      <c r="K67" s="13"/>
    </row>
    <row r="68" customFormat="false" ht="15" hidden="false" customHeight="false" outlineLevel="0" collapsed="false">
      <c r="A68" s="14"/>
      <c r="B68" s="13"/>
      <c r="C68" s="13"/>
      <c r="D68" s="28"/>
      <c r="E68" s="28"/>
      <c r="F68" s="28"/>
      <c r="G68" s="28"/>
      <c r="H68" s="55" t="str">
        <f aca="false">IF(D68="","",D68+E68-F68+G68)</f>
        <v/>
      </c>
      <c r="I68" s="28"/>
      <c r="J68" s="45" t="str">
        <f aca="false">IF(OR(H68="",I68=""),"",I68-H68)</f>
        <v/>
      </c>
      <c r="K68" s="13"/>
    </row>
  </sheetData>
  <dataValidations count="2">
    <dataValidation type="date" operator="greaterThanOrEqual" allowBlank="true" showDropDown="false" showInputMessage="true" showErrorMessage="true" errorTitle="Enter a date" error="Enter a real date (yyyy-mm-dd), not text. Formulas that use this date fail silently on text." sqref="B6:B27">
      <formula1>1</formula1>
    </dataValidation>
    <dataValidation type="date" operator="greaterThanOrEqual" allowBlank="true" showDropDown="false" showInputMessage="true" showErrorMessage="true" errorTitle="Enter a date" error="Enter a real date (yyyy-mm-dd), not text. Formulas that use this date fail silently on text." sqref="A29:A68">
      <formula1>1</formula1>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I1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5" topLeftCell="B6" activePane="bottomRight" state="frozen"/>
      <selection pane="topLeft" activeCell="A1" activeCellId="0" sqref="A1"/>
      <selection pane="topRight" activeCell="B1" activeCellId="0" sqref="B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34"/>
    <col collapsed="false" customWidth="true" hidden="false" outlineLevel="0" max="2" min="2" style="0" width="18"/>
    <col collapsed="false" customWidth="true" hidden="false" outlineLevel="0" max="3" min="3" style="0" width="20"/>
    <col collapsed="false" customWidth="true" hidden="false" outlineLevel="0" max="4" min="4" style="0" width="16"/>
    <col collapsed="false" customWidth="true" hidden="false" outlineLevel="0" max="5" min="5" style="0" width="18"/>
    <col collapsed="false" customWidth="true" hidden="false" outlineLevel="0" max="6" min="6" style="0" width="12"/>
    <col collapsed="false" customWidth="true" hidden="false" outlineLevel="0" max="7" min="7" style="0" width="14"/>
    <col collapsed="false" customWidth="true" hidden="false" outlineLevel="0" max="8" min="8" style="0" width="24"/>
    <col collapsed="false" customWidth="true" hidden="false" outlineLevel="0" max="9" min="9" style="0" width="12"/>
  </cols>
  <sheetData>
    <row r="1" customFormat="false" ht="17.35" hidden="false" customHeight="false" outlineLevel="0" collapsed="false">
      <c r="A1" s="10" t="s">
        <v>2009</v>
      </c>
    </row>
    <row r="2" customFormat="false" ht="15" hidden="false" customHeight="false" outlineLevel="0" collapsed="false">
      <c r="A2" s="11" t="s">
        <v>2010</v>
      </c>
    </row>
    <row r="3" customFormat="false" ht="15" hidden="false" customHeight="false" outlineLevel="0" collapsed="false">
      <c r="A3" s="9" t="s">
        <v>134</v>
      </c>
    </row>
    <row r="5" customFormat="false" ht="30" hidden="false" customHeight="true" outlineLevel="0" collapsed="false">
      <c r="A5" s="6" t="s">
        <v>429</v>
      </c>
      <c r="B5" s="6" t="s">
        <v>2011</v>
      </c>
      <c r="C5" s="6" t="s">
        <v>2012</v>
      </c>
      <c r="D5" s="6" t="s">
        <v>2013</v>
      </c>
      <c r="E5" s="6" t="s">
        <v>2014</v>
      </c>
      <c r="F5" s="6" t="s">
        <v>2015</v>
      </c>
      <c r="G5" s="6" t="s">
        <v>140</v>
      </c>
      <c r="H5" s="6" t="s">
        <v>189</v>
      </c>
      <c r="I5" s="6" t="s">
        <v>482</v>
      </c>
    </row>
    <row r="6" customFormat="false" ht="15" hidden="false" customHeight="false" outlineLevel="0" collapsed="false">
      <c r="A6" s="12" t="s">
        <v>511</v>
      </c>
      <c r="B6" s="34"/>
      <c r="C6" s="13"/>
      <c r="D6" s="13"/>
      <c r="E6" s="34"/>
      <c r="F6" s="49" t="str">
        <f aca="false">IF(OR(B6="",B6=0,E6=""),"",E6/B6)</f>
        <v/>
      </c>
      <c r="G6" s="13"/>
      <c r="H6" s="13"/>
      <c r="I6" s="14"/>
    </row>
    <row r="7" customFormat="false" ht="15" hidden="false" customHeight="false" outlineLevel="0" collapsed="false">
      <c r="A7" s="12" t="s">
        <v>430</v>
      </c>
      <c r="B7" s="34"/>
      <c r="C7" s="13"/>
      <c r="D7" s="13"/>
      <c r="E7" s="34"/>
      <c r="F7" s="49" t="str">
        <f aca="false">IF(OR(B7="",B7=0,E7=""),"",E7/B7)</f>
        <v/>
      </c>
      <c r="G7" s="13"/>
      <c r="H7" s="13"/>
      <c r="I7" s="14"/>
    </row>
    <row r="8" customFormat="false" ht="15" hidden="false" customHeight="false" outlineLevel="0" collapsed="false">
      <c r="A8" s="12" t="s">
        <v>2016</v>
      </c>
      <c r="B8" s="34"/>
      <c r="C8" s="13"/>
      <c r="D8" s="13"/>
      <c r="E8" s="34"/>
      <c r="F8" s="49" t="str">
        <f aca="false">IF(OR(B8="",B8=0,E8=""),"",E8/B8)</f>
        <v/>
      </c>
      <c r="G8" s="13"/>
      <c r="H8" s="13"/>
      <c r="I8" s="14"/>
    </row>
    <row r="9" customFormat="false" ht="15" hidden="false" customHeight="false" outlineLevel="0" collapsed="false">
      <c r="A9" s="12" t="s">
        <v>2017</v>
      </c>
      <c r="B9" s="34"/>
      <c r="C9" s="13"/>
      <c r="D9" s="13"/>
      <c r="E9" s="34"/>
      <c r="F9" s="49" t="str">
        <f aca="false">IF(OR(B9="",B9=0,E9=""),"",E9/B9)</f>
        <v/>
      </c>
      <c r="G9" s="13"/>
      <c r="H9" s="13"/>
      <c r="I9" s="14"/>
    </row>
    <row r="10" customFormat="false" ht="15" hidden="false" customHeight="false" outlineLevel="0" collapsed="false">
      <c r="A10" s="12" t="s">
        <v>2018</v>
      </c>
      <c r="B10" s="34"/>
      <c r="C10" s="13"/>
      <c r="D10" s="13"/>
      <c r="E10" s="34"/>
      <c r="F10" s="49" t="str">
        <f aca="false">IF(OR(B10="",B10=0,E10=""),"",E10/B10)</f>
        <v/>
      </c>
      <c r="G10" s="13"/>
      <c r="H10" s="13"/>
      <c r="I10" s="14"/>
    </row>
    <row r="11" customFormat="false" ht="15" hidden="false" customHeight="false" outlineLevel="0" collapsed="false">
      <c r="A11" s="12" t="s">
        <v>434</v>
      </c>
      <c r="B11" s="34"/>
      <c r="C11" s="13"/>
      <c r="D11" s="13"/>
      <c r="E11" s="34"/>
      <c r="F11" s="49" t="str">
        <f aca="false">IF(OR(B11="",B11=0,E11=""),"",E11/B11)</f>
        <v/>
      </c>
      <c r="G11" s="13"/>
      <c r="H11" s="13"/>
      <c r="I11" s="14"/>
    </row>
    <row r="12" customFormat="false" ht="15" hidden="false" customHeight="false" outlineLevel="0" collapsed="false">
      <c r="A12" s="12" t="s">
        <v>2019</v>
      </c>
      <c r="B12" s="34"/>
      <c r="C12" s="13"/>
      <c r="D12" s="13"/>
      <c r="E12" s="34"/>
      <c r="F12" s="49" t="str">
        <f aca="false">IF(OR(B12="",B12=0,E12=""),"",E12/B12)</f>
        <v/>
      </c>
      <c r="G12" s="13"/>
      <c r="H12" s="13"/>
      <c r="I12" s="14"/>
    </row>
    <row r="13" customFormat="false" ht="15" hidden="false" customHeight="false" outlineLevel="0" collapsed="false">
      <c r="A13" s="12" t="s">
        <v>389</v>
      </c>
      <c r="B13" s="33" t="n">
        <f aca="false">SUM(B6:B12)</f>
        <v>0</v>
      </c>
      <c r="E13" s="33" t="n">
        <f aca="false">SUM(E6:E12)</f>
        <v>0</v>
      </c>
      <c r="F13" s="25" t="str">
        <f aca="false">IF(B13=0,"",E13/B13)</f>
        <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L5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3" ySplit="5" topLeftCell="D6" activePane="bottomRight" state="frozen"/>
      <selection pane="topLeft" activeCell="A1" activeCellId="0" sqref="A1"/>
      <selection pane="topRight" activeCell="D1" activeCellId="0" sqref="D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16"/>
    <col collapsed="false" customWidth="true" hidden="false" outlineLevel="0" max="2" min="2" style="0" width="12"/>
    <col collapsed="false" customWidth="true" hidden="false" outlineLevel="0" max="3" min="3" style="0" width="11"/>
    <col collapsed="false" customWidth="true" hidden="false" outlineLevel="0" max="4" min="4" style="0" width="14"/>
    <col collapsed="false" customWidth="true" hidden="false" outlineLevel="0" max="6" min="5" style="0" width="12"/>
    <col collapsed="false" customWidth="true" hidden="false" outlineLevel="0" max="7" min="7" style="0" width="13"/>
    <col collapsed="false" customWidth="true" hidden="false" outlineLevel="0" max="8" min="8" style="0" width="28"/>
    <col collapsed="false" customWidth="true" hidden="false" outlineLevel="0" max="10" min="9" style="0" width="10"/>
    <col collapsed="false" customWidth="true" hidden="false" outlineLevel="0" max="12" min="11" style="0" width="24"/>
  </cols>
  <sheetData>
    <row r="1" customFormat="false" ht="17.35" hidden="false" customHeight="false" outlineLevel="0" collapsed="false">
      <c r="A1" s="10" t="s">
        <v>2020</v>
      </c>
    </row>
    <row r="2" customFormat="false" ht="15" hidden="false" customHeight="false" outlineLevel="0" collapsed="false">
      <c r="A2" s="11" t="s">
        <v>2021</v>
      </c>
    </row>
    <row r="3" customFormat="false" ht="15" hidden="false" customHeight="false" outlineLevel="0" collapsed="false">
      <c r="A3" s="9" t="s">
        <v>134</v>
      </c>
    </row>
    <row r="5" customFormat="false" ht="30" hidden="false" customHeight="true" outlineLevel="0" collapsed="false">
      <c r="A5" s="6" t="s">
        <v>1991</v>
      </c>
      <c r="B5" s="6" t="s">
        <v>2022</v>
      </c>
      <c r="C5" s="6" t="s">
        <v>1992</v>
      </c>
      <c r="D5" s="6" t="s">
        <v>2023</v>
      </c>
      <c r="E5" s="6" t="s">
        <v>2024</v>
      </c>
      <c r="F5" s="6" t="s">
        <v>2025</v>
      </c>
      <c r="G5" s="6" t="s">
        <v>2026</v>
      </c>
      <c r="H5" s="6" t="s">
        <v>2027</v>
      </c>
      <c r="I5" s="6" t="s">
        <v>2028</v>
      </c>
      <c r="J5" s="6" t="s">
        <v>2029</v>
      </c>
      <c r="K5" s="6" t="s">
        <v>1280</v>
      </c>
      <c r="L5" s="6" t="s">
        <v>2030</v>
      </c>
    </row>
    <row r="6" customFormat="false" ht="15" hidden="false" customHeight="false" outlineLevel="0" collapsed="false">
      <c r="A6" s="13"/>
      <c r="B6" s="13"/>
      <c r="C6" s="13"/>
      <c r="D6" s="28"/>
      <c r="E6" s="28"/>
      <c r="F6" s="56" t="str">
        <f aca="false">IF(OR(D6="",D6=0,E6=""),"",E6/D6)</f>
        <v/>
      </c>
      <c r="G6" s="53"/>
      <c r="H6" s="17" t="str">
        <f aca="false">IF(OR(F6="",G6=""),"",IF(F6&gt;G6,"ABOVE CONTRACT RATE: investigate","OK"))</f>
        <v/>
      </c>
      <c r="I6" s="28"/>
      <c r="J6" s="28"/>
      <c r="K6" s="13"/>
      <c r="L6" s="13"/>
    </row>
    <row r="7" customFormat="false" ht="15" hidden="false" customHeight="false" outlineLevel="0" collapsed="false">
      <c r="A7" s="13"/>
      <c r="B7" s="13"/>
      <c r="C7" s="13"/>
      <c r="D7" s="28"/>
      <c r="E7" s="28"/>
      <c r="F7" s="56" t="str">
        <f aca="false">IF(OR(D7="",D7=0,E7=""),"",E7/D7)</f>
        <v/>
      </c>
      <c r="G7" s="53"/>
      <c r="H7" s="17" t="str">
        <f aca="false">IF(OR(F7="",G7=""),"",IF(F7&gt;G7,"ABOVE CONTRACT RATE: investigate","OK"))</f>
        <v/>
      </c>
      <c r="I7" s="28"/>
      <c r="J7" s="28"/>
      <c r="K7" s="13"/>
      <c r="L7" s="13"/>
    </row>
    <row r="8" customFormat="false" ht="15" hidden="false" customHeight="false" outlineLevel="0" collapsed="false">
      <c r="A8" s="13"/>
      <c r="B8" s="13"/>
      <c r="C8" s="13"/>
      <c r="D8" s="28"/>
      <c r="E8" s="28"/>
      <c r="F8" s="56" t="str">
        <f aca="false">IF(OR(D8="",D8=0,E8=""),"",E8/D8)</f>
        <v/>
      </c>
      <c r="G8" s="53"/>
      <c r="H8" s="17" t="str">
        <f aca="false">IF(OR(F8="",G8=""),"",IF(F8&gt;G8,"ABOVE CONTRACT RATE: investigate","OK"))</f>
        <v/>
      </c>
      <c r="I8" s="28"/>
      <c r="J8" s="28"/>
      <c r="K8" s="13"/>
      <c r="L8" s="13"/>
    </row>
    <row r="9" customFormat="false" ht="15" hidden="false" customHeight="false" outlineLevel="0" collapsed="false">
      <c r="A9" s="13"/>
      <c r="B9" s="13"/>
      <c r="C9" s="13"/>
      <c r="D9" s="28"/>
      <c r="E9" s="28"/>
      <c r="F9" s="56" t="str">
        <f aca="false">IF(OR(D9="",D9=0,E9=""),"",E9/D9)</f>
        <v/>
      </c>
      <c r="G9" s="53"/>
      <c r="H9" s="17" t="str">
        <f aca="false">IF(OR(F9="",G9=""),"",IF(F9&gt;G9,"ABOVE CONTRACT RATE: investigate","OK"))</f>
        <v/>
      </c>
      <c r="I9" s="28"/>
      <c r="J9" s="28"/>
      <c r="K9" s="13"/>
      <c r="L9" s="13"/>
    </row>
    <row r="10" customFormat="false" ht="15" hidden="false" customHeight="false" outlineLevel="0" collapsed="false">
      <c r="A10" s="13"/>
      <c r="B10" s="13"/>
      <c r="C10" s="13"/>
      <c r="D10" s="28"/>
      <c r="E10" s="28"/>
      <c r="F10" s="56" t="str">
        <f aca="false">IF(OR(D10="",D10=0,E10=""),"",E10/D10)</f>
        <v/>
      </c>
      <c r="G10" s="53"/>
      <c r="H10" s="17" t="str">
        <f aca="false">IF(OR(F10="",G10=""),"",IF(F10&gt;G10,"ABOVE CONTRACT RATE: investigate","OK"))</f>
        <v/>
      </c>
      <c r="I10" s="28"/>
      <c r="J10" s="28"/>
      <c r="K10" s="13"/>
      <c r="L10" s="13"/>
    </row>
    <row r="11" customFormat="false" ht="15" hidden="false" customHeight="false" outlineLevel="0" collapsed="false">
      <c r="A11" s="13"/>
      <c r="B11" s="13"/>
      <c r="C11" s="13"/>
      <c r="D11" s="28"/>
      <c r="E11" s="28"/>
      <c r="F11" s="56" t="str">
        <f aca="false">IF(OR(D11="",D11=0,E11=""),"",E11/D11)</f>
        <v/>
      </c>
      <c r="G11" s="53"/>
      <c r="H11" s="17" t="str">
        <f aca="false">IF(OR(F11="",G11=""),"",IF(F11&gt;G11,"ABOVE CONTRACT RATE: investigate","OK"))</f>
        <v/>
      </c>
      <c r="I11" s="28"/>
      <c r="J11" s="28"/>
      <c r="K11" s="13"/>
      <c r="L11" s="13"/>
    </row>
    <row r="12" customFormat="false" ht="15" hidden="false" customHeight="false" outlineLevel="0" collapsed="false">
      <c r="A12" s="13"/>
      <c r="B12" s="13"/>
      <c r="C12" s="13"/>
      <c r="D12" s="28"/>
      <c r="E12" s="28"/>
      <c r="F12" s="56" t="str">
        <f aca="false">IF(OR(D12="",D12=0,E12=""),"",E12/D12)</f>
        <v/>
      </c>
      <c r="G12" s="53"/>
      <c r="H12" s="17" t="str">
        <f aca="false">IF(OR(F12="",G12=""),"",IF(F12&gt;G12,"ABOVE CONTRACT RATE: investigate","OK"))</f>
        <v/>
      </c>
      <c r="I12" s="28"/>
      <c r="J12" s="28"/>
      <c r="K12" s="13"/>
      <c r="L12" s="13"/>
    </row>
    <row r="13" customFormat="false" ht="15" hidden="false" customHeight="false" outlineLevel="0" collapsed="false">
      <c r="A13" s="13"/>
      <c r="B13" s="13"/>
      <c r="C13" s="13"/>
      <c r="D13" s="28"/>
      <c r="E13" s="28"/>
      <c r="F13" s="56" t="str">
        <f aca="false">IF(OR(D13="",D13=0,E13=""),"",E13/D13)</f>
        <v/>
      </c>
      <c r="G13" s="53"/>
      <c r="H13" s="17" t="str">
        <f aca="false">IF(OR(F13="",G13=""),"",IF(F13&gt;G13,"ABOVE CONTRACT RATE: investigate","OK"))</f>
        <v/>
      </c>
      <c r="I13" s="28"/>
      <c r="J13" s="28"/>
      <c r="K13" s="13"/>
      <c r="L13" s="13"/>
    </row>
    <row r="14" customFormat="false" ht="15" hidden="false" customHeight="false" outlineLevel="0" collapsed="false">
      <c r="A14" s="13"/>
      <c r="B14" s="13"/>
      <c r="C14" s="13"/>
      <c r="D14" s="28"/>
      <c r="E14" s="28"/>
      <c r="F14" s="56" t="str">
        <f aca="false">IF(OR(D14="",D14=0,E14=""),"",E14/D14)</f>
        <v/>
      </c>
      <c r="G14" s="53"/>
      <c r="H14" s="17" t="str">
        <f aca="false">IF(OR(F14="",G14=""),"",IF(F14&gt;G14,"ABOVE CONTRACT RATE: investigate","OK"))</f>
        <v/>
      </c>
      <c r="I14" s="28"/>
      <c r="J14" s="28"/>
      <c r="K14" s="13"/>
      <c r="L14" s="13"/>
    </row>
    <row r="15" customFormat="false" ht="15" hidden="false" customHeight="false" outlineLevel="0" collapsed="false">
      <c r="A15" s="13"/>
      <c r="B15" s="13"/>
      <c r="C15" s="13"/>
      <c r="D15" s="28"/>
      <c r="E15" s="28"/>
      <c r="F15" s="56" t="str">
        <f aca="false">IF(OR(D15="",D15=0,E15=""),"",E15/D15)</f>
        <v/>
      </c>
      <c r="G15" s="53"/>
      <c r="H15" s="17" t="str">
        <f aca="false">IF(OR(F15="",G15=""),"",IF(F15&gt;G15,"ABOVE CONTRACT RATE: investigate","OK"))</f>
        <v/>
      </c>
      <c r="I15" s="28"/>
      <c r="J15" s="28"/>
      <c r="K15" s="13"/>
      <c r="L15" s="13"/>
    </row>
    <row r="16" customFormat="false" ht="15" hidden="false" customHeight="false" outlineLevel="0" collapsed="false">
      <c r="A16" s="13"/>
      <c r="B16" s="13"/>
      <c r="C16" s="13"/>
      <c r="D16" s="28"/>
      <c r="E16" s="28"/>
      <c r="F16" s="56" t="str">
        <f aca="false">IF(OR(D16="",D16=0,E16=""),"",E16/D16)</f>
        <v/>
      </c>
      <c r="G16" s="53"/>
      <c r="H16" s="17" t="str">
        <f aca="false">IF(OR(F16="",G16=""),"",IF(F16&gt;G16,"ABOVE CONTRACT RATE: investigate","OK"))</f>
        <v/>
      </c>
      <c r="I16" s="28"/>
      <c r="J16" s="28"/>
      <c r="K16" s="13"/>
      <c r="L16" s="13"/>
    </row>
    <row r="17" customFormat="false" ht="15" hidden="false" customHeight="false" outlineLevel="0" collapsed="false">
      <c r="A17" s="13"/>
      <c r="B17" s="13"/>
      <c r="C17" s="13"/>
      <c r="D17" s="28"/>
      <c r="E17" s="28"/>
      <c r="F17" s="56" t="str">
        <f aca="false">IF(OR(D17="",D17=0,E17=""),"",E17/D17)</f>
        <v/>
      </c>
      <c r="G17" s="53"/>
      <c r="H17" s="17" t="str">
        <f aca="false">IF(OR(F17="",G17=""),"",IF(F17&gt;G17,"ABOVE CONTRACT RATE: investigate","OK"))</f>
        <v/>
      </c>
      <c r="I17" s="28"/>
      <c r="J17" s="28"/>
      <c r="K17" s="13"/>
      <c r="L17" s="13"/>
    </row>
    <row r="18" customFormat="false" ht="15" hidden="false" customHeight="false" outlineLevel="0" collapsed="false">
      <c r="A18" s="13"/>
      <c r="B18" s="13"/>
      <c r="C18" s="13"/>
      <c r="D18" s="28"/>
      <c r="E18" s="28"/>
      <c r="F18" s="56" t="str">
        <f aca="false">IF(OR(D18="",D18=0,E18=""),"",E18/D18)</f>
        <v/>
      </c>
      <c r="G18" s="53"/>
      <c r="H18" s="17" t="str">
        <f aca="false">IF(OR(F18="",G18=""),"",IF(F18&gt;G18,"ABOVE CONTRACT RATE: investigate","OK"))</f>
        <v/>
      </c>
      <c r="I18" s="28"/>
      <c r="J18" s="28"/>
      <c r="K18" s="13"/>
      <c r="L18" s="13"/>
    </row>
    <row r="19" customFormat="false" ht="15" hidden="false" customHeight="false" outlineLevel="0" collapsed="false">
      <c r="A19" s="13"/>
      <c r="B19" s="13"/>
      <c r="C19" s="13"/>
      <c r="D19" s="28"/>
      <c r="E19" s="28"/>
      <c r="F19" s="56" t="str">
        <f aca="false">IF(OR(D19="",D19=0,E19=""),"",E19/D19)</f>
        <v/>
      </c>
      <c r="G19" s="53"/>
      <c r="H19" s="17" t="str">
        <f aca="false">IF(OR(F19="",G19=""),"",IF(F19&gt;G19,"ABOVE CONTRACT RATE: investigate","OK"))</f>
        <v/>
      </c>
      <c r="I19" s="28"/>
      <c r="J19" s="28"/>
      <c r="K19" s="13"/>
      <c r="L19" s="13"/>
    </row>
    <row r="20" customFormat="false" ht="15" hidden="false" customHeight="false" outlineLevel="0" collapsed="false">
      <c r="A20" s="13"/>
      <c r="B20" s="13"/>
      <c r="C20" s="13"/>
      <c r="D20" s="28"/>
      <c r="E20" s="28"/>
      <c r="F20" s="56" t="str">
        <f aca="false">IF(OR(D20="",D20=0,E20=""),"",E20/D20)</f>
        <v/>
      </c>
      <c r="G20" s="53"/>
      <c r="H20" s="17" t="str">
        <f aca="false">IF(OR(F20="",G20=""),"",IF(F20&gt;G20,"ABOVE CONTRACT RATE: investigate","OK"))</f>
        <v/>
      </c>
      <c r="I20" s="28"/>
      <c r="J20" s="28"/>
      <c r="K20" s="13"/>
      <c r="L20" s="13"/>
    </row>
    <row r="21" customFormat="false" ht="15" hidden="false" customHeight="false" outlineLevel="0" collapsed="false">
      <c r="A21" s="13"/>
      <c r="B21" s="13"/>
      <c r="C21" s="13"/>
      <c r="D21" s="28"/>
      <c r="E21" s="28"/>
      <c r="F21" s="56" t="str">
        <f aca="false">IF(OR(D21="",D21=0,E21=""),"",E21/D21)</f>
        <v/>
      </c>
      <c r="G21" s="53"/>
      <c r="H21" s="17" t="str">
        <f aca="false">IF(OR(F21="",G21=""),"",IF(F21&gt;G21,"ABOVE CONTRACT RATE: investigate","OK"))</f>
        <v/>
      </c>
      <c r="I21" s="28"/>
      <c r="J21" s="28"/>
      <c r="K21" s="13"/>
      <c r="L21" s="13"/>
    </row>
    <row r="22" customFormat="false" ht="15" hidden="false" customHeight="false" outlineLevel="0" collapsed="false">
      <c r="A22" s="13"/>
      <c r="B22" s="13"/>
      <c r="C22" s="13"/>
      <c r="D22" s="28"/>
      <c r="E22" s="28"/>
      <c r="F22" s="56" t="str">
        <f aca="false">IF(OR(D22="",D22=0,E22=""),"",E22/D22)</f>
        <v/>
      </c>
      <c r="G22" s="53"/>
      <c r="H22" s="17" t="str">
        <f aca="false">IF(OR(F22="",G22=""),"",IF(F22&gt;G22,"ABOVE CONTRACT RATE: investigate","OK"))</f>
        <v/>
      </c>
      <c r="I22" s="28"/>
      <c r="J22" s="28"/>
      <c r="K22" s="13"/>
      <c r="L22" s="13"/>
    </row>
    <row r="23" customFormat="false" ht="15" hidden="false" customHeight="false" outlineLevel="0" collapsed="false">
      <c r="A23" s="13"/>
      <c r="B23" s="13"/>
      <c r="C23" s="13"/>
      <c r="D23" s="28"/>
      <c r="E23" s="28"/>
      <c r="F23" s="56" t="str">
        <f aca="false">IF(OR(D23="",D23=0,E23=""),"",E23/D23)</f>
        <v/>
      </c>
      <c r="G23" s="53"/>
      <c r="H23" s="17" t="str">
        <f aca="false">IF(OR(F23="",G23=""),"",IF(F23&gt;G23,"ABOVE CONTRACT RATE: investigate","OK"))</f>
        <v/>
      </c>
      <c r="I23" s="28"/>
      <c r="J23" s="28"/>
      <c r="K23" s="13"/>
      <c r="L23" s="13"/>
    </row>
    <row r="24" customFormat="false" ht="15" hidden="false" customHeight="false" outlineLevel="0" collapsed="false">
      <c r="A24" s="13"/>
      <c r="B24" s="13"/>
      <c r="C24" s="13"/>
      <c r="D24" s="28"/>
      <c r="E24" s="28"/>
      <c r="F24" s="56" t="str">
        <f aca="false">IF(OR(D24="",D24=0,E24=""),"",E24/D24)</f>
        <v/>
      </c>
      <c r="G24" s="53"/>
      <c r="H24" s="17" t="str">
        <f aca="false">IF(OR(F24="",G24=""),"",IF(F24&gt;G24,"ABOVE CONTRACT RATE: investigate","OK"))</f>
        <v/>
      </c>
      <c r="I24" s="28"/>
      <c r="J24" s="28"/>
      <c r="K24" s="13"/>
      <c r="L24" s="13"/>
    </row>
    <row r="25" customFormat="false" ht="15" hidden="false" customHeight="false" outlineLevel="0" collapsed="false">
      <c r="A25" s="13"/>
      <c r="B25" s="13"/>
      <c r="C25" s="13"/>
      <c r="D25" s="28"/>
      <c r="E25" s="28"/>
      <c r="F25" s="56" t="str">
        <f aca="false">IF(OR(D25="",D25=0,E25=""),"",E25/D25)</f>
        <v/>
      </c>
      <c r="G25" s="53"/>
      <c r="H25" s="17" t="str">
        <f aca="false">IF(OR(F25="",G25=""),"",IF(F25&gt;G25,"ABOVE CONTRACT RATE: investigate","OK"))</f>
        <v/>
      </c>
      <c r="I25" s="28"/>
      <c r="J25" s="28"/>
      <c r="K25" s="13"/>
      <c r="L25" s="13"/>
    </row>
    <row r="26" customFormat="false" ht="15" hidden="false" customHeight="false" outlineLevel="0" collapsed="false">
      <c r="A26" s="13"/>
      <c r="B26" s="13"/>
      <c r="C26" s="13"/>
      <c r="D26" s="28"/>
      <c r="E26" s="28"/>
      <c r="F26" s="56" t="str">
        <f aca="false">IF(OR(D26="",D26=0,E26=""),"",E26/D26)</f>
        <v/>
      </c>
      <c r="G26" s="53"/>
      <c r="H26" s="17" t="str">
        <f aca="false">IF(OR(F26="",G26=""),"",IF(F26&gt;G26,"ABOVE CONTRACT RATE: investigate","OK"))</f>
        <v/>
      </c>
      <c r="I26" s="28"/>
      <c r="J26" s="28"/>
      <c r="K26" s="13"/>
      <c r="L26" s="13"/>
    </row>
    <row r="27" customFormat="false" ht="15" hidden="false" customHeight="false" outlineLevel="0" collapsed="false">
      <c r="A27" s="13"/>
      <c r="B27" s="13"/>
      <c r="C27" s="13"/>
      <c r="D27" s="28"/>
      <c r="E27" s="28"/>
      <c r="F27" s="56" t="str">
        <f aca="false">IF(OR(D27="",D27=0,E27=""),"",E27/D27)</f>
        <v/>
      </c>
      <c r="G27" s="53"/>
      <c r="H27" s="17" t="str">
        <f aca="false">IF(OR(F27="",G27=""),"",IF(F27&gt;G27,"ABOVE CONTRACT RATE: investigate","OK"))</f>
        <v/>
      </c>
      <c r="I27" s="28"/>
      <c r="J27" s="28"/>
      <c r="K27" s="13"/>
      <c r="L27" s="13"/>
    </row>
    <row r="28" customFormat="false" ht="15" hidden="false" customHeight="false" outlineLevel="0" collapsed="false">
      <c r="A28" s="13"/>
      <c r="B28" s="13"/>
      <c r="C28" s="13"/>
      <c r="D28" s="28"/>
      <c r="E28" s="28"/>
      <c r="F28" s="56" t="str">
        <f aca="false">IF(OR(D28="",D28=0,E28=""),"",E28/D28)</f>
        <v/>
      </c>
      <c r="G28" s="53"/>
      <c r="H28" s="17" t="str">
        <f aca="false">IF(OR(F28="",G28=""),"",IF(F28&gt;G28,"ABOVE CONTRACT RATE: investigate","OK"))</f>
        <v/>
      </c>
      <c r="I28" s="28"/>
      <c r="J28" s="28"/>
      <c r="K28" s="13"/>
      <c r="L28" s="13"/>
    </row>
    <row r="29" customFormat="false" ht="15" hidden="false" customHeight="false" outlineLevel="0" collapsed="false">
      <c r="A29" s="13"/>
      <c r="B29" s="13"/>
      <c r="C29" s="13"/>
      <c r="D29" s="28"/>
      <c r="E29" s="28"/>
      <c r="F29" s="56" t="str">
        <f aca="false">IF(OR(D29="",D29=0,E29=""),"",E29/D29)</f>
        <v/>
      </c>
      <c r="G29" s="53"/>
      <c r="H29" s="17" t="str">
        <f aca="false">IF(OR(F29="",G29=""),"",IF(F29&gt;G29,"ABOVE CONTRACT RATE: investigate","OK"))</f>
        <v/>
      </c>
      <c r="I29" s="28"/>
      <c r="J29" s="28"/>
      <c r="K29" s="13"/>
      <c r="L29" s="13"/>
    </row>
    <row r="30" customFormat="false" ht="15" hidden="false" customHeight="false" outlineLevel="0" collapsed="false">
      <c r="A30" s="13"/>
      <c r="B30" s="13"/>
      <c r="C30" s="13"/>
      <c r="D30" s="28"/>
      <c r="E30" s="28"/>
      <c r="F30" s="56" t="str">
        <f aca="false">IF(OR(D30="",D30=0,E30=""),"",E30/D30)</f>
        <v/>
      </c>
      <c r="G30" s="53"/>
      <c r="H30" s="17" t="str">
        <f aca="false">IF(OR(F30="",G30=""),"",IF(F30&gt;G30,"ABOVE CONTRACT RATE: investigate","OK"))</f>
        <v/>
      </c>
      <c r="I30" s="28"/>
      <c r="J30" s="28"/>
      <c r="K30" s="13"/>
      <c r="L30" s="13"/>
    </row>
    <row r="31" customFormat="false" ht="15" hidden="false" customHeight="false" outlineLevel="0" collapsed="false">
      <c r="A31" s="13"/>
      <c r="B31" s="13"/>
      <c r="C31" s="13"/>
      <c r="D31" s="28"/>
      <c r="E31" s="28"/>
      <c r="F31" s="56" t="str">
        <f aca="false">IF(OR(D31="",D31=0,E31=""),"",E31/D31)</f>
        <v/>
      </c>
      <c r="G31" s="53"/>
      <c r="H31" s="17" t="str">
        <f aca="false">IF(OR(F31="",G31=""),"",IF(F31&gt;G31,"ABOVE CONTRACT RATE: investigate","OK"))</f>
        <v/>
      </c>
      <c r="I31" s="28"/>
      <c r="J31" s="28"/>
      <c r="K31" s="13"/>
      <c r="L31" s="13"/>
    </row>
    <row r="32" customFormat="false" ht="15" hidden="false" customHeight="false" outlineLevel="0" collapsed="false">
      <c r="A32" s="13"/>
      <c r="B32" s="13"/>
      <c r="C32" s="13"/>
      <c r="D32" s="28"/>
      <c r="E32" s="28"/>
      <c r="F32" s="56" t="str">
        <f aca="false">IF(OR(D32="",D32=0,E32=""),"",E32/D32)</f>
        <v/>
      </c>
      <c r="G32" s="53"/>
      <c r="H32" s="17" t="str">
        <f aca="false">IF(OR(F32="",G32=""),"",IF(F32&gt;G32,"ABOVE CONTRACT RATE: investigate","OK"))</f>
        <v/>
      </c>
      <c r="I32" s="28"/>
      <c r="J32" s="28"/>
      <c r="K32" s="13"/>
      <c r="L32" s="13"/>
    </row>
    <row r="33" customFormat="false" ht="15" hidden="false" customHeight="false" outlineLevel="0" collapsed="false">
      <c r="A33" s="13"/>
      <c r="B33" s="13"/>
      <c r="C33" s="13"/>
      <c r="D33" s="28"/>
      <c r="E33" s="28"/>
      <c r="F33" s="56" t="str">
        <f aca="false">IF(OR(D33="",D33=0,E33=""),"",E33/D33)</f>
        <v/>
      </c>
      <c r="G33" s="53"/>
      <c r="H33" s="17" t="str">
        <f aca="false">IF(OR(F33="",G33=""),"",IF(F33&gt;G33,"ABOVE CONTRACT RATE: investigate","OK"))</f>
        <v/>
      </c>
      <c r="I33" s="28"/>
      <c r="J33" s="28"/>
      <c r="K33" s="13"/>
      <c r="L33" s="13"/>
    </row>
    <row r="34" customFormat="false" ht="15" hidden="false" customHeight="false" outlineLevel="0" collapsed="false">
      <c r="A34" s="13"/>
      <c r="B34" s="13"/>
      <c r="C34" s="13"/>
      <c r="D34" s="28"/>
      <c r="E34" s="28"/>
      <c r="F34" s="56" t="str">
        <f aca="false">IF(OR(D34="",D34=0,E34=""),"",E34/D34)</f>
        <v/>
      </c>
      <c r="G34" s="53"/>
      <c r="H34" s="17" t="str">
        <f aca="false">IF(OR(F34="",G34=""),"",IF(F34&gt;G34,"ABOVE CONTRACT RATE: investigate","OK"))</f>
        <v/>
      </c>
      <c r="I34" s="28"/>
      <c r="J34" s="28"/>
      <c r="K34" s="13"/>
      <c r="L34" s="13"/>
    </row>
    <row r="35" customFormat="false" ht="15" hidden="false" customHeight="false" outlineLevel="0" collapsed="false">
      <c r="A35" s="13"/>
      <c r="B35" s="13"/>
      <c r="C35" s="13"/>
      <c r="D35" s="28"/>
      <c r="E35" s="28"/>
      <c r="F35" s="56" t="str">
        <f aca="false">IF(OR(D35="",D35=0,E35=""),"",E35/D35)</f>
        <v/>
      </c>
      <c r="G35" s="53"/>
      <c r="H35" s="17" t="str">
        <f aca="false">IF(OR(F35="",G35=""),"",IF(F35&gt;G35,"ABOVE CONTRACT RATE: investigate","OK"))</f>
        <v/>
      </c>
      <c r="I35" s="28"/>
      <c r="J35" s="28"/>
      <c r="K35" s="13"/>
      <c r="L35" s="13"/>
    </row>
    <row r="37" customFormat="false" ht="32.8" hidden="false" customHeight="false" outlineLevel="0" collapsed="false">
      <c r="A37" s="16" t="s">
        <v>2031</v>
      </c>
    </row>
    <row r="38" customFormat="false" ht="30" hidden="false" customHeight="true" outlineLevel="0" collapsed="false">
      <c r="A38" s="6" t="s">
        <v>2032</v>
      </c>
      <c r="B38" s="6" t="s">
        <v>1991</v>
      </c>
      <c r="C38" s="6" t="s">
        <v>2033</v>
      </c>
      <c r="D38" s="6" t="s">
        <v>2034</v>
      </c>
      <c r="E38" s="6" t="s">
        <v>2035</v>
      </c>
      <c r="F38" s="6" t="s">
        <v>2036</v>
      </c>
      <c r="G38" s="6" t="s">
        <v>197</v>
      </c>
      <c r="H38" s="6" t="s">
        <v>2037</v>
      </c>
      <c r="I38" s="6" t="s">
        <v>840</v>
      </c>
    </row>
    <row r="39" customFormat="false" ht="15" hidden="false" customHeight="false" outlineLevel="0" collapsed="false">
      <c r="A39" s="13"/>
      <c r="B39" s="13"/>
      <c r="C39" s="14"/>
      <c r="D39" s="28"/>
      <c r="E39" s="28"/>
      <c r="F39" s="28"/>
      <c r="G39" s="17" t="str">
        <f aca="false">IF(OR(E39="",F39=""),"",IF(E39&lt;=F39,"PASS","FAIL: investigate lot"))</f>
        <v/>
      </c>
      <c r="H39" s="13"/>
      <c r="I39" s="13"/>
    </row>
    <row r="40" customFormat="false" ht="15" hidden="false" customHeight="false" outlineLevel="0" collapsed="false">
      <c r="A40" s="13"/>
      <c r="B40" s="13"/>
      <c r="C40" s="14"/>
      <c r="D40" s="28"/>
      <c r="E40" s="28"/>
      <c r="F40" s="28"/>
      <c r="G40" s="17" t="str">
        <f aca="false">IF(OR(E40="",F40=""),"",IF(E40&lt;=F40,"PASS","FAIL: investigate lot"))</f>
        <v/>
      </c>
      <c r="H40" s="13"/>
      <c r="I40" s="13"/>
    </row>
    <row r="41" customFormat="false" ht="15" hidden="false" customHeight="false" outlineLevel="0" collapsed="false">
      <c r="A41" s="13"/>
      <c r="B41" s="13"/>
      <c r="C41" s="14"/>
      <c r="D41" s="28"/>
      <c r="E41" s="28"/>
      <c r="F41" s="28"/>
      <c r="G41" s="17" t="str">
        <f aca="false">IF(OR(E41="",F41=""),"",IF(E41&lt;=F41,"PASS","FAIL: investigate lot"))</f>
        <v/>
      </c>
      <c r="H41" s="13"/>
      <c r="I41" s="13"/>
    </row>
    <row r="42" customFormat="false" ht="15" hidden="false" customHeight="false" outlineLevel="0" collapsed="false">
      <c r="A42" s="13"/>
      <c r="B42" s="13"/>
      <c r="C42" s="14"/>
      <c r="D42" s="28"/>
      <c r="E42" s="28"/>
      <c r="F42" s="28"/>
      <c r="G42" s="17" t="str">
        <f aca="false">IF(OR(E42="",F42=""),"",IF(E42&lt;=F42,"PASS","FAIL: investigate lot"))</f>
        <v/>
      </c>
      <c r="H42" s="13"/>
      <c r="I42" s="13"/>
    </row>
    <row r="43" customFormat="false" ht="15" hidden="false" customHeight="false" outlineLevel="0" collapsed="false">
      <c r="A43" s="13"/>
      <c r="B43" s="13"/>
      <c r="C43" s="14"/>
      <c r="D43" s="28"/>
      <c r="E43" s="28"/>
      <c r="F43" s="28"/>
      <c r="G43" s="17" t="str">
        <f aca="false">IF(OR(E43="",F43=""),"",IF(E43&lt;=F43,"PASS","FAIL: investigate lot"))</f>
        <v/>
      </c>
      <c r="H43" s="13"/>
      <c r="I43" s="13"/>
    </row>
    <row r="44" customFormat="false" ht="15" hidden="false" customHeight="false" outlineLevel="0" collapsed="false">
      <c r="A44" s="13"/>
      <c r="B44" s="13"/>
      <c r="C44" s="14"/>
      <c r="D44" s="28"/>
      <c r="E44" s="28"/>
      <c r="F44" s="28"/>
      <c r="G44" s="17" t="str">
        <f aca="false">IF(OR(E44="",F44=""),"",IF(E44&lt;=F44,"PASS","FAIL: investigate lot"))</f>
        <v/>
      </c>
      <c r="H44" s="13"/>
      <c r="I44" s="13"/>
    </row>
    <row r="45" customFormat="false" ht="15" hidden="false" customHeight="false" outlineLevel="0" collapsed="false">
      <c r="A45" s="13"/>
      <c r="B45" s="13"/>
      <c r="C45" s="14"/>
      <c r="D45" s="28"/>
      <c r="E45" s="28"/>
      <c r="F45" s="28"/>
      <c r="G45" s="17" t="str">
        <f aca="false">IF(OR(E45="",F45=""),"",IF(E45&lt;=F45,"PASS","FAIL: investigate lot"))</f>
        <v/>
      </c>
      <c r="H45" s="13"/>
      <c r="I45" s="13"/>
    </row>
    <row r="46" customFormat="false" ht="15" hidden="false" customHeight="false" outlineLevel="0" collapsed="false">
      <c r="A46" s="13"/>
      <c r="B46" s="13"/>
      <c r="C46" s="14"/>
      <c r="D46" s="28"/>
      <c r="E46" s="28"/>
      <c r="F46" s="28"/>
      <c r="G46" s="17" t="str">
        <f aca="false">IF(OR(E46="",F46=""),"",IF(E46&lt;=F46,"PASS","FAIL: investigate lot"))</f>
        <v/>
      </c>
      <c r="H46" s="13"/>
      <c r="I46" s="13"/>
    </row>
    <row r="47" customFormat="false" ht="15" hidden="false" customHeight="false" outlineLevel="0" collapsed="false">
      <c r="A47" s="13"/>
      <c r="B47" s="13"/>
      <c r="C47" s="14"/>
      <c r="D47" s="28"/>
      <c r="E47" s="28"/>
      <c r="F47" s="28"/>
      <c r="G47" s="17" t="str">
        <f aca="false">IF(OR(E47="",F47=""),"",IF(E47&lt;=F47,"PASS","FAIL: investigate lot"))</f>
        <v/>
      </c>
      <c r="H47" s="13"/>
      <c r="I47" s="13"/>
    </row>
    <row r="48" customFormat="false" ht="15" hidden="false" customHeight="false" outlineLevel="0" collapsed="false">
      <c r="A48" s="13"/>
      <c r="B48" s="13"/>
      <c r="C48" s="14"/>
      <c r="D48" s="28"/>
      <c r="E48" s="28"/>
      <c r="F48" s="28"/>
      <c r="G48" s="17" t="str">
        <f aca="false">IF(OR(E48="",F48=""),"",IF(E48&lt;=F48,"PASS","FAIL: investigate lot"))</f>
        <v/>
      </c>
      <c r="H48" s="13"/>
      <c r="I48" s="13"/>
    </row>
    <row r="49" customFormat="false" ht="15" hidden="false" customHeight="false" outlineLevel="0" collapsed="false">
      <c r="A49" s="13"/>
      <c r="B49" s="13"/>
      <c r="C49" s="14"/>
      <c r="D49" s="28"/>
      <c r="E49" s="28"/>
      <c r="F49" s="28"/>
      <c r="G49" s="17" t="str">
        <f aca="false">IF(OR(E49="",F49=""),"",IF(E49&lt;=F49,"PASS","FAIL: investigate lot"))</f>
        <v/>
      </c>
      <c r="H49" s="13"/>
      <c r="I49" s="13"/>
    </row>
    <row r="50" customFormat="false" ht="15" hidden="false" customHeight="false" outlineLevel="0" collapsed="false">
      <c r="A50" s="13"/>
      <c r="B50" s="13"/>
      <c r="C50" s="14"/>
      <c r="D50" s="28"/>
      <c r="E50" s="28"/>
      <c r="F50" s="28"/>
      <c r="G50" s="17" t="str">
        <f aca="false">IF(OR(E50="",F50=""),"",IF(E50&lt;=F50,"PASS","FAIL: investigate lot"))</f>
        <v/>
      </c>
      <c r="H50" s="13"/>
      <c r="I50" s="13"/>
    </row>
    <row r="51" customFormat="false" ht="15" hidden="false" customHeight="false" outlineLevel="0" collapsed="false">
      <c r="A51" s="13"/>
      <c r="B51" s="13"/>
      <c r="C51" s="14"/>
      <c r="D51" s="28"/>
      <c r="E51" s="28"/>
      <c r="F51" s="28"/>
      <c r="G51" s="17" t="str">
        <f aca="false">IF(OR(E51="",F51=""),"",IF(E51&lt;=F51,"PASS","FAIL: investigate lot"))</f>
        <v/>
      </c>
      <c r="H51" s="13"/>
      <c r="I51" s="13"/>
    </row>
    <row r="52" customFormat="false" ht="15" hidden="false" customHeight="false" outlineLevel="0" collapsed="false">
      <c r="A52" s="13"/>
      <c r="B52" s="13"/>
      <c r="C52" s="14"/>
      <c r="D52" s="28"/>
      <c r="E52" s="28"/>
      <c r="F52" s="28"/>
      <c r="G52" s="17" t="str">
        <f aca="false">IF(OR(E52="",F52=""),"",IF(E52&lt;=F52,"PASS","FAIL: investigate lot"))</f>
        <v/>
      </c>
      <c r="H52" s="13"/>
      <c r="I52" s="13"/>
    </row>
    <row r="53" customFormat="false" ht="15" hidden="false" customHeight="false" outlineLevel="0" collapsed="false">
      <c r="A53" s="13"/>
      <c r="B53" s="13"/>
      <c r="C53" s="14"/>
      <c r="D53" s="28"/>
      <c r="E53" s="28"/>
      <c r="F53" s="28"/>
      <c r="G53" s="17" t="str">
        <f aca="false">IF(OR(E53="",F53=""),"",IF(E53&lt;=F53,"PASS","FAIL: investigate lot"))</f>
        <v/>
      </c>
      <c r="H53" s="13"/>
      <c r="I53" s="13"/>
    </row>
  </sheetData>
  <dataValidations count="1">
    <dataValidation type="date" operator="greaterThanOrEqual" allowBlank="true" showDropDown="false" showInputMessage="true" showErrorMessage="true" errorTitle="Enter a date" error="Enter a real date (yyyy-mm-dd), not text. Formulas that use this date fail silently on text." sqref="C39:C53">
      <formula1>1</formula1>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H3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5" topLeftCell="B6" activePane="bottomRight" state="frozen"/>
      <selection pane="topLeft" activeCell="A1" activeCellId="0" sqref="A1"/>
      <selection pane="topRight" activeCell="B1" activeCellId="0" sqref="B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48"/>
    <col collapsed="false" customWidth="true" hidden="false" outlineLevel="0" max="2" min="2" style="0" width="18"/>
    <col collapsed="false" customWidth="true" hidden="false" outlineLevel="0" max="3" min="3" style="0" width="50"/>
    <col collapsed="false" customWidth="true" hidden="false" outlineLevel="0" max="4" min="4" style="0" width="13"/>
    <col collapsed="false" customWidth="true" hidden="false" outlineLevel="0" max="6" min="5" style="0" width="14"/>
    <col collapsed="false" customWidth="true" hidden="false" outlineLevel="0" max="7" min="7" style="0" width="12"/>
    <col collapsed="false" customWidth="true" hidden="false" outlineLevel="0" max="8" min="8" style="0" width="20"/>
  </cols>
  <sheetData>
    <row r="1" customFormat="false" ht="17.35" hidden="false" customHeight="false" outlineLevel="0" collapsed="false">
      <c r="A1" s="10" t="s">
        <v>127</v>
      </c>
    </row>
    <row r="2" customFormat="false" ht="15" hidden="false" customHeight="false" outlineLevel="0" collapsed="false">
      <c r="A2" s="11" t="s">
        <v>2038</v>
      </c>
    </row>
    <row r="3" customFormat="false" ht="15" hidden="false" customHeight="false" outlineLevel="0" collapsed="false">
      <c r="A3" s="9" t="s">
        <v>134</v>
      </c>
    </row>
    <row r="5" customFormat="false" ht="30" hidden="false" customHeight="true" outlineLevel="0" collapsed="false">
      <c r="A5" s="6" t="s">
        <v>2039</v>
      </c>
      <c r="B5" s="6" t="s">
        <v>2040</v>
      </c>
      <c r="C5" s="6" t="s">
        <v>2041</v>
      </c>
      <c r="D5" s="6" t="s">
        <v>2042</v>
      </c>
      <c r="E5" s="6" t="s">
        <v>2043</v>
      </c>
      <c r="F5" s="6" t="s">
        <v>140</v>
      </c>
      <c r="G5" s="6" t="s">
        <v>2044</v>
      </c>
      <c r="H5" s="6" t="s">
        <v>219</v>
      </c>
    </row>
    <row r="6" customFormat="false" ht="32.8" hidden="false" customHeight="false" outlineLevel="0" collapsed="false">
      <c r="A6" s="12" t="s">
        <v>2045</v>
      </c>
      <c r="B6" s="8" t="s">
        <v>1589</v>
      </c>
      <c r="C6" s="8" t="s">
        <v>2046</v>
      </c>
      <c r="D6" s="14"/>
      <c r="E6" s="13"/>
      <c r="F6" s="13"/>
      <c r="G6" s="14"/>
      <c r="H6" s="13"/>
    </row>
    <row r="7" customFormat="false" ht="22.35" hidden="false" customHeight="false" outlineLevel="0" collapsed="false">
      <c r="A7" s="12" t="s">
        <v>2047</v>
      </c>
      <c r="B7" s="8" t="s">
        <v>1589</v>
      </c>
      <c r="C7" s="8" t="s">
        <v>2048</v>
      </c>
      <c r="D7" s="14"/>
      <c r="E7" s="13"/>
      <c r="F7" s="13"/>
      <c r="G7" s="14"/>
      <c r="H7" s="13"/>
    </row>
    <row r="8" customFormat="false" ht="53.7" hidden="false" customHeight="false" outlineLevel="0" collapsed="false">
      <c r="A8" s="12" t="s">
        <v>2049</v>
      </c>
      <c r="B8" s="8" t="s">
        <v>1589</v>
      </c>
      <c r="C8" s="8" t="s">
        <v>2050</v>
      </c>
      <c r="D8" s="14"/>
      <c r="E8" s="13"/>
      <c r="F8" s="13"/>
      <c r="G8" s="14"/>
      <c r="H8" s="13"/>
    </row>
    <row r="9" customFormat="false" ht="22.35" hidden="false" customHeight="false" outlineLevel="0" collapsed="false">
      <c r="A9" s="12" t="s">
        <v>2051</v>
      </c>
      <c r="B9" s="8" t="s">
        <v>1589</v>
      </c>
      <c r="C9" s="8" t="s">
        <v>2052</v>
      </c>
      <c r="D9" s="14"/>
      <c r="E9" s="13"/>
      <c r="F9" s="13"/>
      <c r="G9" s="14"/>
      <c r="H9" s="13"/>
    </row>
    <row r="10" customFormat="false" ht="22.35" hidden="false" customHeight="false" outlineLevel="0" collapsed="false">
      <c r="A10" s="12" t="s">
        <v>2053</v>
      </c>
      <c r="B10" s="8" t="s">
        <v>1589</v>
      </c>
      <c r="C10" s="8" t="s">
        <v>2054</v>
      </c>
      <c r="D10" s="14"/>
      <c r="E10" s="13"/>
      <c r="F10" s="13"/>
      <c r="G10" s="14"/>
      <c r="H10" s="13"/>
    </row>
    <row r="11" customFormat="false" ht="22.35" hidden="false" customHeight="false" outlineLevel="0" collapsed="false">
      <c r="A11" s="12" t="s">
        <v>2055</v>
      </c>
      <c r="B11" s="8" t="s">
        <v>1589</v>
      </c>
      <c r="C11" s="8" t="s">
        <v>2056</v>
      </c>
      <c r="D11" s="14"/>
      <c r="E11" s="13"/>
      <c r="F11" s="13"/>
      <c r="G11" s="14"/>
      <c r="H11" s="13"/>
    </row>
    <row r="12" customFormat="false" ht="22.35" hidden="false" customHeight="false" outlineLevel="0" collapsed="false">
      <c r="A12" s="12" t="s">
        <v>2057</v>
      </c>
      <c r="B12" s="8" t="s">
        <v>1589</v>
      </c>
      <c r="C12" s="8" t="s">
        <v>2058</v>
      </c>
      <c r="D12" s="14"/>
      <c r="E12" s="13"/>
      <c r="F12" s="13"/>
      <c r="G12" s="14"/>
      <c r="H12" s="13"/>
    </row>
    <row r="13" customFormat="false" ht="22.35" hidden="false" customHeight="false" outlineLevel="0" collapsed="false">
      <c r="A13" s="12" t="s">
        <v>2059</v>
      </c>
      <c r="B13" s="8" t="s">
        <v>2060</v>
      </c>
      <c r="C13" s="8" t="s">
        <v>2061</v>
      </c>
      <c r="D13" s="14"/>
      <c r="E13" s="13"/>
      <c r="F13" s="13"/>
      <c r="G13" s="14"/>
      <c r="H13" s="13"/>
    </row>
    <row r="14" customFormat="false" ht="15" hidden="false" customHeight="false" outlineLevel="0" collapsed="false">
      <c r="A14" s="12" t="s">
        <v>2062</v>
      </c>
      <c r="B14" s="8" t="s">
        <v>2063</v>
      </c>
      <c r="C14" s="8" t="s">
        <v>2064</v>
      </c>
      <c r="D14" s="14"/>
      <c r="E14" s="13"/>
      <c r="F14" s="13"/>
      <c r="G14" s="14"/>
      <c r="H14" s="13"/>
    </row>
    <row r="15" customFormat="false" ht="15" hidden="false" customHeight="false" outlineLevel="0" collapsed="false">
      <c r="A15" s="12" t="s">
        <v>2065</v>
      </c>
      <c r="B15" s="8" t="s">
        <v>2066</v>
      </c>
      <c r="C15" s="8" t="s">
        <v>2067</v>
      </c>
      <c r="D15" s="14"/>
      <c r="E15" s="13"/>
      <c r="F15" s="13"/>
      <c r="G15" s="14"/>
      <c r="H15" s="13"/>
    </row>
    <row r="16" customFormat="false" ht="15" hidden="false" customHeight="false" outlineLevel="0" collapsed="false">
      <c r="A16" s="12" t="s">
        <v>2068</v>
      </c>
      <c r="B16" s="8" t="s">
        <v>1589</v>
      </c>
      <c r="C16" s="8" t="s">
        <v>2069</v>
      </c>
      <c r="D16" s="14"/>
      <c r="E16" s="13"/>
      <c r="F16" s="13"/>
      <c r="G16" s="14"/>
      <c r="H16" s="13"/>
    </row>
    <row r="17" customFormat="false" ht="15" hidden="false" customHeight="false" outlineLevel="0" collapsed="false">
      <c r="A17" s="12" t="s">
        <v>2070</v>
      </c>
      <c r="B17" s="8" t="s">
        <v>2071</v>
      </c>
      <c r="C17" s="8" t="s">
        <v>2072</v>
      </c>
      <c r="D17" s="14"/>
      <c r="E17" s="13"/>
      <c r="F17" s="13"/>
      <c r="G17" s="14"/>
      <c r="H17" s="13"/>
    </row>
    <row r="18" customFormat="false" ht="22.35" hidden="false" customHeight="false" outlineLevel="0" collapsed="false">
      <c r="A18" s="12" t="s">
        <v>2073</v>
      </c>
      <c r="B18" s="8" t="s">
        <v>2074</v>
      </c>
      <c r="C18" s="8" t="s">
        <v>2075</v>
      </c>
      <c r="D18" s="14"/>
      <c r="E18" s="13"/>
      <c r="F18" s="13"/>
      <c r="G18" s="14"/>
      <c r="H18" s="13"/>
    </row>
    <row r="19" customFormat="false" ht="22.35" hidden="false" customHeight="false" outlineLevel="0" collapsed="false">
      <c r="A19" s="12" t="s">
        <v>2076</v>
      </c>
      <c r="B19" s="8" t="s">
        <v>2077</v>
      </c>
      <c r="C19" s="8" t="s">
        <v>2078</v>
      </c>
      <c r="D19" s="14"/>
      <c r="E19" s="13"/>
      <c r="F19" s="13"/>
      <c r="G19" s="14"/>
      <c r="H19" s="13"/>
    </row>
    <row r="20" customFormat="false" ht="22.35" hidden="false" customHeight="false" outlineLevel="0" collapsed="false">
      <c r="A20" s="12" t="s">
        <v>2079</v>
      </c>
      <c r="B20" s="8" t="s">
        <v>2080</v>
      </c>
      <c r="C20" s="8" t="s">
        <v>2081</v>
      </c>
      <c r="D20" s="14"/>
      <c r="E20" s="13"/>
      <c r="F20" s="13"/>
      <c r="G20" s="14"/>
      <c r="H20" s="13"/>
    </row>
    <row r="21" customFormat="false" ht="22.35" hidden="false" customHeight="false" outlineLevel="0" collapsed="false">
      <c r="A21" s="12" t="s">
        <v>2082</v>
      </c>
      <c r="B21" s="8" t="s">
        <v>2083</v>
      </c>
      <c r="C21" s="8" t="s">
        <v>2084</v>
      </c>
      <c r="D21" s="14"/>
      <c r="E21" s="13"/>
      <c r="F21" s="13"/>
      <c r="G21" s="14"/>
      <c r="H21" s="13"/>
    </row>
    <row r="22" customFormat="false" ht="22.35" hidden="false" customHeight="false" outlineLevel="0" collapsed="false">
      <c r="A22" s="12" t="s">
        <v>2085</v>
      </c>
      <c r="B22" s="8" t="s">
        <v>2086</v>
      </c>
      <c r="C22" s="8" t="s">
        <v>2087</v>
      </c>
      <c r="D22" s="14"/>
      <c r="E22" s="13"/>
      <c r="F22" s="13"/>
      <c r="G22" s="14"/>
      <c r="H22" s="13"/>
    </row>
    <row r="23" customFormat="false" ht="32.8" hidden="false" customHeight="false" outlineLevel="0" collapsed="false">
      <c r="A23" s="12" t="s">
        <v>2088</v>
      </c>
      <c r="B23" s="8" t="s">
        <v>2089</v>
      </c>
      <c r="C23" s="8" t="s">
        <v>2090</v>
      </c>
      <c r="D23" s="14"/>
      <c r="E23" s="13"/>
      <c r="F23" s="13"/>
      <c r="G23" s="14"/>
      <c r="H23" s="13"/>
    </row>
    <row r="24" customFormat="false" ht="32.8" hidden="false" customHeight="false" outlineLevel="0" collapsed="false">
      <c r="A24" s="12" t="s">
        <v>2091</v>
      </c>
      <c r="B24" s="8" t="s">
        <v>2092</v>
      </c>
      <c r="C24" s="8" t="s">
        <v>2093</v>
      </c>
      <c r="D24" s="14"/>
      <c r="E24" s="13"/>
      <c r="F24" s="13"/>
      <c r="G24" s="14"/>
      <c r="H24" s="13"/>
    </row>
    <row r="25" customFormat="false" ht="15" hidden="false" customHeight="false" outlineLevel="0" collapsed="false">
      <c r="A25" s="12" t="s">
        <v>2094</v>
      </c>
      <c r="B25" s="8" t="s">
        <v>2095</v>
      </c>
      <c r="C25" s="8" t="s">
        <v>2096</v>
      </c>
      <c r="D25" s="14"/>
      <c r="E25" s="13"/>
      <c r="F25" s="13"/>
      <c r="G25" s="14"/>
      <c r="H25" s="13"/>
    </row>
    <row r="26" customFormat="false" ht="15" hidden="false" customHeight="false" outlineLevel="0" collapsed="false">
      <c r="A26" s="12" t="s">
        <v>2097</v>
      </c>
      <c r="B26" s="8" t="s">
        <v>2098</v>
      </c>
      <c r="C26" s="8" t="s">
        <v>2099</v>
      </c>
      <c r="D26" s="14"/>
      <c r="E26" s="13"/>
      <c r="F26" s="13"/>
      <c r="G26" s="14"/>
      <c r="H26" s="13"/>
    </row>
    <row r="27" customFormat="false" ht="22.35" hidden="false" customHeight="false" outlineLevel="0" collapsed="false">
      <c r="A27" s="12" t="s">
        <v>2100</v>
      </c>
      <c r="B27" s="8" t="s">
        <v>1595</v>
      </c>
      <c r="C27" s="8" t="s">
        <v>2101</v>
      </c>
      <c r="D27" s="14"/>
      <c r="E27" s="13"/>
      <c r="F27" s="13"/>
      <c r="G27" s="14"/>
      <c r="H27" s="13"/>
    </row>
    <row r="28" customFormat="false" ht="22.35" hidden="false" customHeight="false" outlineLevel="0" collapsed="false">
      <c r="A28" s="12" t="s">
        <v>2102</v>
      </c>
      <c r="B28" s="8" t="s">
        <v>2103</v>
      </c>
      <c r="C28" s="8" t="s">
        <v>2104</v>
      </c>
      <c r="D28" s="14"/>
      <c r="E28" s="13"/>
      <c r="F28" s="13"/>
      <c r="G28" s="14"/>
      <c r="H28" s="13"/>
    </row>
    <row r="29" customFormat="false" ht="15" hidden="false" customHeight="false" outlineLevel="0" collapsed="false">
      <c r="A29" s="12" t="s">
        <v>2105</v>
      </c>
      <c r="B29" s="8" t="s">
        <v>2063</v>
      </c>
      <c r="C29" s="8" t="s">
        <v>2106</v>
      </c>
      <c r="D29" s="14"/>
      <c r="E29" s="13"/>
      <c r="F29" s="13"/>
      <c r="G29" s="14"/>
      <c r="H29" s="13"/>
    </row>
    <row r="30" customFormat="false" ht="15" hidden="false" customHeight="false" outlineLevel="0" collapsed="false">
      <c r="A30" s="12" t="s">
        <v>2107</v>
      </c>
      <c r="B30" s="8" t="s">
        <v>2108</v>
      </c>
      <c r="C30" s="8" t="s">
        <v>2109</v>
      </c>
      <c r="D30" s="14"/>
      <c r="E30" s="13"/>
      <c r="F30" s="13"/>
      <c r="G30" s="14"/>
      <c r="H30" s="13"/>
    </row>
    <row r="31" customFormat="false" ht="22.35" hidden="false" customHeight="false" outlineLevel="0" collapsed="false">
      <c r="A31" s="12" t="s">
        <v>2110</v>
      </c>
      <c r="B31" s="8" t="s">
        <v>1589</v>
      </c>
      <c r="C31" s="8" t="s">
        <v>2111</v>
      </c>
      <c r="D31" s="14"/>
      <c r="E31" s="13"/>
      <c r="F31" s="13"/>
      <c r="G31" s="14"/>
      <c r="H31" s="13"/>
    </row>
    <row r="32" customFormat="false" ht="22.35" hidden="false" customHeight="false" outlineLevel="0" collapsed="false">
      <c r="A32" s="12" t="s">
        <v>2112</v>
      </c>
      <c r="B32" s="8" t="s">
        <v>2098</v>
      </c>
      <c r="C32" s="8" t="s">
        <v>2113</v>
      </c>
      <c r="D32" s="14"/>
      <c r="E32" s="13"/>
      <c r="F32" s="13"/>
      <c r="G32" s="14"/>
      <c r="H32" s="13"/>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2026-09-21T21:21:19Z</dcterms:created>
  <dc:creator>openpyxl</dc:creator>
  <dc:description/>
  <dc:language>en-US</dc:language>
  <cp:lastModifiedBy/>
  <dcterms:modified xsi:type="dcterms:W3CDTF">2026-09-21T21:21:20Z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